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limaco\Desktop\Entregables\Calculadora EY\Calculadora a publicar\"/>
    </mc:Choice>
  </mc:AlternateContent>
  <xr:revisionPtr revIDLastSave="0" documentId="13_ncr:1_{1587ADCE-4B69-4930-86C1-14D493DD9CF9}" xr6:coauthVersionLast="47" xr6:coauthVersionMax="47" xr10:uidLastSave="{00000000-0000-0000-0000-000000000000}"/>
  <workbookProtection workbookAlgorithmName="SHA-512" workbookHashValue="Q8YzNCwNQe4fsPEHm1ZCu4PCKWKEvmpmvqPApIE7WpNV/3xy5ayt04gPRu5J0zcE0mNZ2ObNYrDCWhB/uWQbQA==" workbookSaltValue="Wm9dbI7X4Tggrg16gK3lMQ==" workbookSpinCount="100000" lockStructure="1"/>
  <bookViews>
    <workbookView xWindow="-110" yWindow="-110" windowWidth="19420" windowHeight="10300" tabRatio="446" xr2:uid="{CBBBCC3C-13C2-41FB-B138-42485CF469EE}"/>
  </bookViews>
  <sheets>
    <sheet name="Simulador " sheetId="26" r:id="rId1"/>
    <sheet name="Listas" sheetId="30" state="hidden" r:id="rId2"/>
    <sheet name="Tabla Consolidada" sheetId="35" state="hidden" r:id="rId3"/>
    <sheet name="RangoTasa" sheetId="32" state="hidden" r:id="rId4"/>
    <sheet name="Hoja1" sheetId="36" state="hidden" r:id="rId5"/>
    <sheet name="Reglas de CI" sheetId="33" state="hidden" r:id="rId6"/>
  </sheets>
  <definedNames>
    <definedName name="_xlnm.Print_Area" localSheetId="0">'Simulador '!$R$1:$CJ$118</definedName>
    <definedName name="solver_adj" localSheetId="0" hidden="1">'Simulador '!$C$32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'Simulador '!$D$65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0</definedName>
    <definedName name="solver_ver" localSheetId="0" hidden="1">3</definedName>
    <definedName name="Z_52987596_9B8D_4CD9_8760_D388E3918C22_.wvu.Cols" localSheetId="0" hidden="1">'Simulador '!$A:$Q,'Simulador '!$AC:$XFD</definedName>
    <definedName name="Z_52987596_9B8D_4CD9_8760_D388E3918C22_.wvu.PrintArea" localSheetId="0" hidden="1">'Simulador '!$R$1:$AB$118</definedName>
    <definedName name="Z_52987596_9B8D_4CD9_8760_D388E3918C22_.wvu.Rows" localSheetId="0" hidden="1">'Simulador '!$227:$1048576,'Simulador '!$18:$37,'Simulador '!$90:$101,'Simulador '!$119:$226</definedName>
  </definedNames>
  <calcPr calcId="191029"/>
  <customWorkbookViews>
    <customWorkbookView name="Vista Full" guid="{52987596-9B8D-4CD9-8760-D388E3918C22}" maximized="1" xWindow="-11" yWindow="-11" windowWidth="1942" windowHeight="1056" tabRatio="876" activeSheetId="26" showFormulaBar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35" l="1"/>
  <c r="D1" i="35" s="1"/>
  <c r="E1" i="35" s="1"/>
  <c r="F1" i="35" s="1"/>
  <c r="G1" i="35" s="1"/>
  <c r="H1" i="35" s="1"/>
  <c r="I1" i="35" s="1"/>
  <c r="J1" i="35" s="1"/>
  <c r="K1" i="35" s="1"/>
  <c r="L1" i="35" s="1"/>
  <c r="M1" i="35" s="1"/>
  <c r="N1" i="35" s="1"/>
  <c r="O1" i="35" s="1"/>
  <c r="B1" i="35"/>
  <c r="O16" i="35"/>
  <c r="O21" i="35"/>
  <c r="N21" i="35"/>
  <c r="N16" i="35"/>
  <c r="O6" i="35"/>
  <c r="N6" i="35"/>
  <c r="N5" i="35"/>
  <c r="N4" i="35"/>
  <c r="O5" i="35"/>
  <c r="O4" i="35"/>
  <c r="AH17" i="26"/>
  <c r="A21" i="35"/>
  <c r="A20" i="35"/>
  <c r="AA2" i="26" l="1"/>
  <c r="A19" i="35"/>
  <c r="A18" i="35"/>
  <c r="A16" i="35" l="1"/>
  <c r="U114" i="26" l="1"/>
  <c r="J24" i="26"/>
  <c r="I24" i="26"/>
  <c r="K24" i="26"/>
  <c r="L28" i="26"/>
  <c r="K29" i="26"/>
  <c r="J29" i="26"/>
  <c r="I29" i="26"/>
  <c r="O25" i="30"/>
  <c r="A5" i="30" l="1"/>
  <c r="B5" i="30" l="1"/>
  <c r="AO5" i="30" l="1"/>
  <c r="L7" i="30"/>
  <c r="L6" i="30" s="1"/>
  <c r="K6" i="30" s="1"/>
  <c r="H21" i="30"/>
  <c r="D6" i="30"/>
  <c r="D5" i="30" s="1"/>
  <c r="AC13" i="30"/>
  <c r="C18" i="26"/>
  <c r="M15" i="35"/>
  <c r="L15" i="35"/>
  <c r="M14" i="35"/>
  <c r="L14" i="35"/>
  <c r="M13" i="35"/>
  <c r="L13" i="35"/>
  <c r="M12" i="35"/>
  <c r="L12" i="35"/>
  <c r="M11" i="35"/>
  <c r="L11" i="35"/>
  <c r="M10" i="35"/>
  <c r="L10" i="35"/>
  <c r="H9" i="30" l="1"/>
  <c r="H2" i="30"/>
  <c r="H3" i="30"/>
  <c r="H14" i="30"/>
  <c r="H15" i="30"/>
  <c r="AL7" i="26"/>
  <c r="H12" i="30"/>
  <c r="A19" i="30"/>
  <c r="S9" i="26"/>
  <c r="AP5" i="30"/>
  <c r="H6" i="30"/>
  <c r="H4" i="30"/>
  <c r="H5" i="30"/>
  <c r="H10" i="30"/>
  <c r="H8" i="30"/>
  <c r="AH10" i="26"/>
  <c r="AH11" i="26"/>
  <c r="AH12" i="26"/>
  <c r="AH6" i="26"/>
  <c r="AH7" i="26"/>
  <c r="AH8" i="26"/>
  <c r="AH2" i="26"/>
  <c r="AH3" i="26"/>
  <c r="AH4" i="26"/>
  <c r="A17" i="35"/>
  <c r="A15" i="35"/>
  <c r="A14" i="35"/>
  <c r="A13" i="35"/>
  <c r="A12" i="35"/>
  <c r="A11" i="35"/>
  <c r="A10" i="35"/>
  <c r="A9" i="35"/>
  <c r="A8" i="35"/>
  <c r="A7" i="35"/>
  <c r="A6" i="35"/>
  <c r="H19" i="30" l="1"/>
  <c r="AM2" i="26"/>
  <c r="C24" i="26"/>
  <c r="AA4" i="26"/>
  <c r="C22" i="26" s="1"/>
  <c r="C12" i="26" l="1"/>
  <c r="I21" i="30"/>
  <c r="C41" i="26"/>
  <c r="U7" i="30" l="1"/>
  <c r="V3" i="30"/>
  <c r="V2" i="30"/>
  <c r="F38" i="26"/>
  <c r="H38" i="26" a="1"/>
  <c r="H38" i="26" s="1"/>
  <c r="AM7" i="26"/>
  <c r="AA6" i="26" l="1"/>
  <c r="O2" i="30"/>
  <c r="AN2" i="26" s="1"/>
  <c r="O3" i="30"/>
  <c r="O4" i="30"/>
  <c r="O5" i="30"/>
  <c r="O6" i="30"/>
  <c r="O7" i="30"/>
  <c r="AO2" i="26"/>
  <c r="O17" i="30"/>
  <c r="O18" i="30"/>
  <c r="O22" i="30"/>
  <c r="N27" i="30"/>
  <c r="O15" i="30"/>
  <c r="O19" i="30"/>
  <c r="O21" i="30"/>
  <c r="O20" i="30"/>
  <c r="O16" i="30"/>
  <c r="O39" i="30"/>
  <c r="B18" i="33"/>
  <c r="AC41" i="26"/>
  <c r="C21" i="26"/>
  <c r="C62" i="26" l="1"/>
  <c r="C78" i="26"/>
  <c r="C94" i="26"/>
  <c r="C110" i="26"/>
  <c r="C98" i="26"/>
  <c r="C52" i="26"/>
  <c r="C85" i="26"/>
  <c r="C86" i="26"/>
  <c r="C103" i="26"/>
  <c r="C88" i="26"/>
  <c r="C58" i="26"/>
  <c r="C75" i="26"/>
  <c r="C92" i="26"/>
  <c r="C77" i="26"/>
  <c r="C63" i="26"/>
  <c r="C79" i="26"/>
  <c r="C95" i="26"/>
  <c r="C111" i="26"/>
  <c r="C82" i="26"/>
  <c r="C67" i="26"/>
  <c r="C84" i="26"/>
  <c r="C101" i="26"/>
  <c r="C70" i="26"/>
  <c r="C56" i="26"/>
  <c r="C89" i="26"/>
  <c r="C74" i="26"/>
  <c r="C60" i="26"/>
  <c r="C109" i="26"/>
  <c r="C64" i="26"/>
  <c r="C80" i="26"/>
  <c r="C96" i="26"/>
  <c r="C112" i="26"/>
  <c r="C50" i="26"/>
  <c r="C51" i="26"/>
  <c r="C99" i="26"/>
  <c r="C100" i="26"/>
  <c r="C54" i="26"/>
  <c r="C71" i="26"/>
  <c r="C72" i="26"/>
  <c r="C73" i="26"/>
  <c r="C106" i="26"/>
  <c r="C91" i="26"/>
  <c r="C108" i="26"/>
  <c r="C65" i="26"/>
  <c r="C81" i="26"/>
  <c r="C97" i="26"/>
  <c r="C113" i="26"/>
  <c r="C66" i="26"/>
  <c r="C83" i="26"/>
  <c r="C68" i="26"/>
  <c r="C69" i="26"/>
  <c r="C102" i="26"/>
  <c r="C87" i="26"/>
  <c r="C104" i="26"/>
  <c r="C105" i="26"/>
  <c r="C59" i="26"/>
  <c r="C76" i="26"/>
  <c r="C93" i="26"/>
  <c r="C53" i="26"/>
  <c r="C55" i="26"/>
  <c r="C57" i="26"/>
  <c r="C90" i="26"/>
  <c r="C107" i="26"/>
  <c r="C61" i="26"/>
  <c r="M104" i="26"/>
  <c r="M94" i="26"/>
  <c r="M84" i="26"/>
  <c r="M74" i="26"/>
  <c r="M113" i="26"/>
  <c r="M103" i="26"/>
  <c r="M93" i="26"/>
  <c r="M83" i="26"/>
  <c r="M73" i="26"/>
  <c r="M112" i="26"/>
  <c r="M102" i="26"/>
  <c r="M92" i="26"/>
  <c r="M82" i="26"/>
  <c r="M72" i="26"/>
  <c r="M111" i="26"/>
  <c r="M81" i="26"/>
  <c r="M100" i="26"/>
  <c r="M70" i="26"/>
  <c r="M99" i="26"/>
  <c r="M108" i="26"/>
  <c r="M98" i="26"/>
  <c r="M88" i="26"/>
  <c r="M78" i="26"/>
  <c r="M96" i="26"/>
  <c r="M76" i="26"/>
  <c r="M105" i="26"/>
  <c r="M85" i="26"/>
  <c r="M91" i="26"/>
  <c r="M90" i="26"/>
  <c r="M89" i="26"/>
  <c r="M107" i="26"/>
  <c r="M97" i="26"/>
  <c r="M87" i="26"/>
  <c r="M77" i="26"/>
  <c r="M106" i="26"/>
  <c r="M86" i="26"/>
  <c r="M95" i="26"/>
  <c r="M75" i="26"/>
  <c r="M101" i="26"/>
  <c r="M71" i="26"/>
  <c r="M110" i="26"/>
  <c r="M80" i="26"/>
  <c r="M109" i="26"/>
  <c r="M79" i="26"/>
  <c r="O40" i="30"/>
  <c r="O8" i="30" s="1"/>
  <c r="J113" i="26"/>
  <c r="J112" i="26"/>
  <c r="J105" i="26"/>
  <c r="J109" i="26"/>
  <c r="J103" i="26"/>
  <c r="J111" i="26"/>
  <c r="J108" i="26"/>
  <c r="J102" i="26"/>
  <c r="J106" i="26"/>
  <c r="J110" i="26"/>
  <c r="J107" i="26"/>
  <c r="J104" i="26"/>
  <c r="C5" i="35"/>
  <c r="A5" i="35" s="1"/>
  <c r="B17" i="33"/>
  <c r="B25" i="33" s="1"/>
  <c r="O41" i="30" l="1"/>
  <c r="O9" i="30" s="1"/>
  <c r="V7" i="30"/>
  <c r="C4" i="35"/>
  <c r="A4" i="35" s="1"/>
  <c r="AJ2" i="30" s="1"/>
  <c r="B24" i="33"/>
  <c r="C24" i="33" s="1"/>
  <c r="B27" i="33"/>
  <c r="C27" i="33" s="1"/>
  <c r="B23" i="33"/>
  <c r="AC4" i="30" s="1"/>
  <c r="AD4" i="30" s="1"/>
  <c r="B22" i="33"/>
  <c r="C22" i="33" s="1"/>
  <c r="B26" i="33"/>
  <c r="C26" i="33" s="1"/>
  <c r="B28" i="33"/>
  <c r="AC9" i="30" s="1"/>
  <c r="AD9" i="30" s="1"/>
  <c r="B29" i="33"/>
  <c r="AC10" i="30" s="1"/>
  <c r="AD10" i="30" s="1"/>
  <c r="B21" i="33"/>
  <c r="AC2" i="30" s="1"/>
  <c r="C25" i="33"/>
  <c r="AC6" i="30"/>
  <c r="AD6" i="30" s="1"/>
  <c r="A41" i="26"/>
  <c r="S41" i="26" s="1"/>
  <c r="AL41" i="26" s="1"/>
  <c r="F36" i="26"/>
  <c r="AN3" i="30" l="1"/>
  <c r="AM2" i="30"/>
  <c r="AI11" i="26" s="1"/>
  <c r="AN2" i="30"/>
  <c r="AG2" i="30"/>
  <c r="AI3" i="26" s="1"/>
  <c r="AM3" i="30"/>
  <c r="AI12" i="26" s="1"/>
  <c r="AJ3" i="30"/>
  <c r="AI8" i="26" s="1"/>
  <c r="AJ8" i="26" s="1"/>
  <c r="AI7" i="26"/>
  <c r="AG3" i="30"/>
  <c r="AI4" i="26" s="1"/>
  <c r="AJ4" i="26" s="1"/>
  <c r="O42" i="30"/>
  <c r="O10" i="30" s="1"/>
  <c r="C23" i="26"/>
  <c r="AD2" i="30"/>
  <c r="AC3" i="30"/>
  <c r="AD3" i="30" s="1"/>
  <c r="C23" i="33"/>
  <c r="P25" i="30"/>
  <c r="AC5" i="30"/>
  <c r="AD5" i="30" s="1"/>
  <c r="AC7" i="30"/>
  <c r="AD7" i="30" s="1"/>
  <c r="C28" i="33"/>
  <c r="C29" i="33"/>
  <c r="AC8" i="30"/>
  <c r="AD8" i="30" s="1"/>
  <c r="C21" i="33"/>
  <c r="AJ11" i="26" l="1"/>
  <c r="AJ12" i="26"/>
  <c r="AK12" i="26" s="1"/>
  <c r="F113" i="26"/>
  <c r="F89" i="26"/>
  <c r="F88" i="26"/>
  <c r="F84" i="26"/>
  <c r="F108" i="26"/>
  <c r="F71" i="26"/>
  <c r="F75" i="26"/>
  <c r="F102" i="26"/>
  <c r="F81" i="26"/>
  <c r="Y114" i="26"/>
  <c r="F85" i="26"/>
  <c r="F77" i="26"/>
  <c r="F112" i="26"/>
  <c r="F109" i="26"/>
  <c r="F78" i="26"/>
  <c r="F70" i="26"/>
  <c r="F91" i="26"/>
  <c r="F95" i="26"/>
  <c r="F87" i="26"/>
  <c r="F80" i="26"/>
  <c r="F101" i="26"/>
  <c r="F105" i="26"/>
  <c r="F97" i="26"/>
  <c r="F73" i="26"/>
  <c r="F90" i="26"/>
  <c r="F111" i="26"/>
  <c r="F107" i="26"/>
  <c r="F83" i="26"/>
  <c r="F98" i="26"/>
  <c r="F100" i="26"/>
  <c r="F74" i="26"/>
  <c r="F93" i="26"/>
  <c r="F79" i="26"/>
  <c r="F110" i="26"/>
  <c r="F76" i="26"/>
  <c r="F86" i="26"/>
  <c r="F72" i="26"/>
  <c r="F94" i="26"/>
  <c r="F96" i="26"/>
  <c r="F82" i="26"/>
  <c r="F104" i="26"/>
  <c r="F106" i="26"/>
  <c r="F92" i="26"/>
  <c r="F99" i="26"/>
  <c r="F103" i="26"/>
  <c r="O43" i="30"/>
  <c r="O11" i="30" s="1"/>
  <c r="AP2" i="26"/>
  <c r="AC12" i="30"/>
  <c r="AA7" i="26"/>
  <c r="AJ7" i="26"/>
  <c r="AI15" i="26" s="1"/>
  <c r="AJ3" i="26"/>
  <c r="AI16" i="26" s="1"/>
  <c r="AK11" i="26" l="1"/>
  <c r="AI17" i="26" s="1"/>
  <c r="O12" i="30"/>
  <c r="AB12" i="30"/>
  <c r="C27" i="26" l="1"/>
  <c r="D27" i="26" s="1"/>
  <c r="O13" i="30"/>
  <c r="O14" i="30" l="1"/>
  <c r="O24" i="30" l="1"/>
  <c r="N28" i="30" s="1"/>
  <c r="J101" i="26"/>
  <c r="J100" i="26"/>
  <c r="J99" i="26"/>
  <c r="J98" i="26"/>
  <c r="J97" i="26"/>
  <c r="J96" i="26"/>
  <c r="J95" i="26"/>
  <c r="J94" i="26"/>
  <c r="J93" i="26"/>
  <c r="J92" i="26"/>
  <c r="J91" i="26"/>
  <c r="J90" i="26"/>
  <c r="J89" i="26"/>
  <c r="J88" i="26"/>
  <c r="J87" i="26"/>
  <c r="J86" i="26"/>
  <c r="J85" i="26"/>
  <c r="J84" i="26"/>
  <c r="J83" i="26"/>
  <c r="J82" i="26"/>
  <c r="J81" i="26"/>
  <c r="J80" i="26"/>
  <c r="J79" i="26"/>
  <c r="J78" i="26"/>
  <c r="J77" i="26"/>
  <c r="J76" i="26"/>
  <c r="J75" i="26"/>
  <c r="J74" i="26"/>
  <c r="J73" i="26"/>
  <c r="J72" i="26"/>
  <c r="J71" i="26"/>
  <c r="J70" i="26"/>
  <c r="J69" i="26"/>
  <c r="J68" i="26"/>
  <c r="J67" i="26"/>
  <c r="J66" i="26"/>
  <c r="J65" i="26"/>
  <c r="J64" i="26"/>
  <c r="J63" i="26"/>
  <c r="J62" i="26"/>
  <c r="J61" i="26"/>
  <c r="J60" i="26"/>
  <c r="J59" i="26"/>
  <c r="J58" i="26"/>
  <c r="J57" i="26"/>
  <c r="J56" i="26"/>
  <c r="J55" i="26"/>
  <c r="J54" i="26"/>
  <c r="J53" i="26"/>
  <c r="J52" i="26"/>
  <c r="J51" i="26"/>
  <c r="J50" i="26"/>
  <c r="J49" i="26"/>
  <c r="J48" i="26"/>
  <c r="J47" i="26"/>
  <c r="J46" i="26"/>
  <c r="J45" i="26"/>
  <c r="J44" i="26"/>
  <c r="J43" i="26"/>
  <c r="J42" i="26"/>
  <c r="C20" i="26"/>
  <c r="V41" i="26" s="1"/>
  <c r="AP41" i="26" l="1"/>
  <c r="N24" i="30"/>
  <c r="C14" i="26" s="1"/>
  <c r="C42" i="26" s="1"/>
  <c r="Z41" i="26"/>
  <c r="D41" i="26"/>
  <c r="A42" i="26" l="1"/>
  <c r="U42" i="26"/>
  <c r="U8" i="30"/>
  <c r="C13" i="26" s="1"/>
  <c r="D13" i="26" s="1"/>
  <c r="C43" i="26" s="1"/>
  <c r="C44" i="26" s="1"/>
  <c r="C45" i="26" s="1"/>
  <c r="C46" i="26" s="1"/>
  <c r="C47" i="26" s="1"/>
  <c r="C48" i="26" s="1"/>
  <c r="C49" i="26" s="1"/>
  <c r="AQ42" i="26" l="1"/>
  <c r="L42" i="26"/>
  <c r="Q42" i="26"/>
  <c r="F42" i="26" s="1"/>
  <c r="M42" i="26"/>
  <c r="S42" i="26"/>
  <c r="AI42" i="26" s="1"/>
  <c r="Y42" i="26" s="1"/>
  <c r="A43" i="26"/>
  <c r="U43" i="26"/>
  <c r="AL42" i="26" l="1"/>
  <c r="AG42" i="26"/>
  <c r="X42" i="26" s="1"/>
  <c r="E42" i="26"/>
  <c r="K42" i="26"/>
  <c r="Q43" i="26"/>
  <c r="M43" i="26"/>
  <c r="AQ43" i="26"/>
  <c r="S43" i="26"/>
  <c r="AI43" i="26" s="1"/>
  <c r="L43" i="26"/>
  <c r="U44" i="26"/>
  <c r="A44" i="26"/>
  <c r="Q44" i="26" l="1"/>
  <c r="M44" i="26"/>
  <c r="AL43" i="26"/>
  <c r="AG43" i="26"/>
  <c r="S44" i="26"/>
  <c r="AI44" i="26" s="1"/>
  <c r="L44" i="26"/>
  <c r="AQ44" i="26"/>
  <c r="A45" i="26"/>
  <c r="S45" i="26" s="1"/>
  <c r="U45" i="26"/>
  <c r="K43" i="26"/>
  <c r="Q45" i="26" l="1"/>
  <c r="M45" i="26"/>
  <c r="K44" i="26"/>
  <c r="AL44" i="26"/>
  <c r="AG44" i="26"/>
  <c r="AQ45" i="26"/>
  <c r="AI45" i="26"/>
  <c r="L45" i="26"/>
  <c r="U46" i="26"/>
  <c r="A46" i="26"/>
  <c r="Q46" i="26" l="1"/>
  <c r="M46" i="26"/>
  <c r="K45" i="26"/>
  <c r="AL45" i="26"/>
  <c r="AG45" i="26"/>
  <c r="S46" i="26"/>
  <c r="AI46" i="26" s="1"/>
  <c r="L46" i="26"/>
  <c r="AQ46" i="26"/>
  <c r="U47" i="26"/>
  <c r="A47" i="26"/>
  <c r="K46" i="26" l="1"/>
  <c r="Q47" i="26"/>
  <c r="M47" i="26"/>
  <c r="AL46" i="26"/>
  <c r="AG46" i="26"/>
  <c r="S47" i="26"/>
  <c r="AI47" i="26" s="1"/>
  <c r="L47" i="26"/>
  <c r="AQ47" i="26"/>
  <c r="U48" i="26"/>
  <c r="A48" i="26"/>
  <c r="K47" i="26" l="1"/>
  <c r="Q48" i="26"/>
  <c r="M48" i="26"/>
  <c r="AL47" i="26"/>
  <c r="AG47" i="26"/>
  <c r="AQ48" i="26"/>
  <c r="U49" i="26"/>
  <c r="A49" i="26"/>
  <c r="S48" i="26"/>
  <c r="AI48" i="26" s="1"/>
  <c r="L48" i="26"/>
  <c r="K48" i="26" l="1"/>
  <c r="Q49" i="26"/>
  <c r="M49" i="26"/>
  <c r="AL48" i="26"/>
  <c r="AG48" i="26"/>
  <c r="S49" i="26"/>
  <c r="AI49" i="26" s="1"/>
  <c r="L49" i="26"/>
  <c r="AQ49" i="26"/>
  <c r="U50" i="26"/>
  <c r="A50" i="26"/>
  <c r="Q50" i="26" l="1"/>
  <c r="M50" i="26"/>
  <c r="K49" i="26"/>
  <c r="AL49" i="26"/>
  <c r="AG49" i="26"/>
  <c r="U51" i="26"/>
  <c r="A51" i="26"/>
  <c r="S50" i="26"/>
  <c r="AI50" i="26" s="1"/>
  <c r="L50" i="26"/>
  <c r="AQ50" i="26"/>
  <c r="K50" i="26" l="1"/>
  <c r="Q51" i="26"/>
  <c r="M51" i="26"/>
  <c r="AL50" i="26"/>
  <c r="AG50" i="26"/>
  <c r="S51" i="26"/>
  <c r="AI51" i="26" s="1"/>
  <c r="L51" i="26"/>
  <c r="AQ51" i="26"/>
  <c r="U52" i="26"/>
  <c r="A52" i="26"/>
  <c r="K51" i="26" l="1"/>
  <c r="Q52" i="26"/>
  <c r="M52" i="26"/>
  <c r="AL51" i="26"/>
  <c r="AG51" i="26"/>
  <c r="AQ52" i="26"/>
  <c r="U53" i="26"/>
  <c r="A53" i="26"/>
  <c r="M53" i="26" s="1"/>
  <c r="S52" i="26"/>
  <c r="AI52" i="26" s="1"/>
  <c r="L52" i="26"/>
  <c r="K52" i="26" l="1"/>
  <c r="AL52" i="26"/>
  <c r="Q53" i="26"/>
  <c r="AG52" i="26"/>
  <c r="U55" i="26"/>
  <c r="AI55" i="26" s="1"/>
  <c r="A54" i="26"/>
  <c r="M54" i="26" s="1"/>
  <c r="U54" i="26"/>
  <c r="AI54" i="26" s="1"/>
  <c r="S53" i="26"/>
  <c r="AI53" i="26" s="1"/>
  <c r="L53" i="26"/>
  <c r="AQ53" i="26"/>
  <c r="AL53" i="26" l="1"/>
  <c r="AE53" i="26"/>
  <c r="AD53" i="26"/>
  <c r="S54" i="26"/>
  <c r="Q54" i="26"/>
  <c r="L54" i="26"/>
  <c r="AG53" i="26"/>
  <c r="K53" i="26"/>
  <c r="AQ54" i="26"/>
  <c r="U56" i="26"/>
  <c r="AI56" i="26" s="1"/>
  <c r="A55" i="26"/>
  <c r="M55" i="26" s="1"/>
  <c r="AL54" i="26" l="1"/>
  <c r="AD54" i="26"/>
  <c r="AE54" i="26"/>
  <c r="S55" i="26"/>
  <c r="AG54" i="26"/>
  <c r="Q55" i="26"/>
  <c r="L55" i="26"/>
  <c r="K54" i="26"/>
  <c r="AQ55" i="26"/>
  <c r="U57" i="26"/>
  <c r="AI57" i="26" s="1"/>
  <c r="A56" i="26"/>
  <c r="M56" i="26" s="1"/>
  <c r="AL55" i="26" l="1"/>
  <c r="AE55" i="26"/>
  <c r="AD55" i="26"/>
  <c r="S56" i="26"/>
  <c r="AG55" i="26"/>
  <c r="K55" i="26"/>
  <c r="Q56" i="26"/>
  <c r="L56" i="26"/>
  <c r="U58" i="26"/>
  <c r="AI58" i="26" s="1"/>
  <c r="A57" i="26"/>
  <c r="AQ56" i="26"/>
  <c r="S57" i="26" l="1"/>
  <c r="AL57" i="26" s="1"/>
  <c r="M57" i="26"/>
  <c r="AL56" i="26"/>
  <c r="AD56" i="26"/>
  <c r="AE56" i="26"/>
  <c r="AG56" i="26"/>
  <c r="K56" i="26"/>
  <c r="Q57" i="26"/>
  <c r="L57" i="26"/>
  <c r="U59" i="26"/>
  <c r="AI59" i="26" s="1"/>
  <c r="A58" i="26"/>
  <c r="M58" i="26" s="1"/>
  <c r="AQ57" i="26"/>
  <c r="AE57" i="26" l="1"/>
  <c r="AD57" i="26"/>
  <c r="S58" i="26"/>
  <c r="AG57" i="26"/>
  <c r="Q58" i="26"/>
  <c r="L58" i="26"/>
  <c r="K57" i="26"/>
  <c r="AQ58" i="26"/>
  <c r="U60" i="26"/>
  <c r="AI60" i="26" s="1"/>
  <c r="A59" i="26"/>
  <c r="S59" i="26" l="1"/>
  <c r="AL59" i="26" s="1"/>
  <c r="M59" i="26"/>
  <c r="AL58" i="26"/>
  <c r="AD58" i="26"/>
  <c r="AE58" i="26"/>
  <c r="AG58" i="26"/>
  <c r="K58" i="26"/>
  <c r="Q59" i="26"/>
  <c r="L59" i="26"/>
  <c r="AQ59" i="26"/>
  <c r="U61" i="26"/>
  <c r="AI61" i="26" s="1"/>
  <c r="A60" i="26"/>
  <c r="M60" i="26" s="1"/>
  <c r="AE59" i="26" l="1"/>
  <c r="AD59" i="26"/>
  <c r="S60" i="26"/>
  <c r="Q60" i="26"/>
  <c r="L60" i="26"/>
  <c r="K59" i="26"/>
  <c r="AG59" i="26"/>
  <c r="AQ60" i="26"/>
  <c r="AG60" i="26"/>
  <c r="U62" i="26"/>
  <c r="AI62" i="26" s="1"/>
  <c r="A61" i="26"/>
  <c r="M61" i="26" s="1"/>
  <c r="AL60" i="26" l="1"/>
  <c r="AD60" i="26"/>
  <c r="AE60" i="26"/>
  <c r="S61" i="26"/>
  <c r="Q61" i="26"/>
  <c r="L61" i="26"/>
  <c r="K60" i="26"/>
  <c r="U63" i="26"/>
  <c r="AI63" i="26" s="1"/>
  <c r="A62" i="26"/>
  <c r="M62" i="26" s="1"/>
  <c r="AQ61" i="26"/>
  <c r="AL61" i="26" l="1"/>
  <c r="AD61" i="26"/>
  <c r="AE61" i="26"/>
  <c r="S62" i="26"/>
  <c r="AG61" i="26"/>
  <c r="Q62" i="26"/>
  <c r="L62" i="26"/>
  <c r="K61" i="26"/>
  <c r="AQ62" i="26"/>
  <c r="U64" i="26"/>
  <c r="AI64" i="26" s="1"/>
  <c r="A63" i="26"/>
  <c r="M63" i="26" s="1"/>
  <c r="AL62" i="26" l="1"/>
  <c r="AG62" i="26"/>
  <c r="AD62" i="26"/>
  <c r="AE62" i="26"/>
  <c r="S63" i="26"/>
  <c r="Q63" i="26"/>
  <c r="L63" i="26"/>
  <c r="K62" i="26"/>
  <c r="AQ63" i="26"/>
  <c r="U65" i="26"/>
  <c r="AI65" i="26" s="1"/>
  <c r="A64" i="26"/>
  <c r="M64" i="26" s="1"/>
  <c r="AL63" i="26" l="1"/>
  <c r="AE63" i="26"/>
  <c r="AD63" i="26"/>
  <c r="S64" i="26"/>
  <c r="AG63" i="26"/>
  <c r="K63" i="26"/>
  <c r="Q64" i="26"/>
  <c r="L64" i="26"/>
  <c r="AQ64" i="26"/>
  <c r="U66" i="26"/>
  <c r="AI66" i="26" s="1"/>
  <c r="A65" i="26"/>
  <c r="S65" i="26" l="1"/>
  <c r="AL65" i="26" s="1"/>
  <c r="M65" i="26"/>
  <c r="AL64" i="26"/>
  <c r="AD64" i="26"/>
  <c r="AE64" i="26"/>
  <c r="Q65" i="26"/>
  <c r="L65" i="26"/>
  <c r="K64" i="26"/>
  <c r="AG64" i="26"/>
  <c r="AQ65" i="26"/>
  <c r="AG65" i="26"/>
  <c r="U67" i="26"/>
  <c r="AI67" i="26" s="1"/>
  <c r="A66" i="26"/>
  <c r="M66" i="26" s="1"/>
  <c r="AE65" i="26" l="1"/>
  <c r="AD65" i="26"/>
  <c r="S66" i="26"/>
  <c r="Q66" i="26"/>
  <c r="L66" i="26"/>
  <c r="K65" i="26"/>
  <c r="AG66" i="26"/>
  <c r="AQ66" i="26"/>
  <c r="U68" i="26"/>
  <c r="AI68" i="26" s="1"/>
  <c r="A67" i="26"/>
  <c r="M67" i="26" s="1"/>
  <c r="S67" i="26" l="1"/>
  <c r="AG67" i="26" s="1"/>
  <c r="AL66" i="26"/>
  <c r="AE66" i="26"/>
  <c r="AD66" i="26"/>
  <c r="Q67" i="26"/>
  <c r="L67" i="26"/>
  <c r="K66" i="26"/>
  <c r="U69" i="26"/>
  <c r="AI69" i="26" s="1"/>
  <c r="A68" i="26"/>
  <c r="M68" i="26" s="1"/>
  <c r="AQ67" i="26"/>
  <c r="AE67" i="26" l="1"/>
  <c r="AD67" i="26"/>
  <c r="AL67" i="26"/>
  <c r="S68" i="26"/>
  <c r="K67" i="26"/>
  <c r="Q68" i="26"/>
  <c r="L68" i="26"/>
  <c r="U70" i="26"/>
  <c r="A69" i="26"/>
  <c r="AQ68" i="26"/>
  <c r="Y70" i="26" l="1"/>
  <c r="AI70" i="26"/>
  <c r="S69" i="26"/>
  <c r="AL69" i="26" s="1"/>
  <c r="M69" i="26"/>
  <c r="M114" i="26" s="1"/>
  <c r="N41" i="26" s="1"/>
  <c r="N42" i="26" s="1"/>
  <c r="N43" i="26" s="1"/>
  <c r="N44" i="26" s="1"/>
  <c r="N45" i="26" s="1"/>
  <c r="N46" i="26" s="1"/>
  <c r="N47" i="26" s="1"/>
  <c r="N48" i="26" s="1"/>
  <c r="N49" i="26" s="1"/>
  <c r="N50" i="26" s="1"/>
  <c r="N51" i="26" s="1"/>
  <c r="N52" i="26" s="1"/>
  <c r="N53" i="26" s="1"/>
  <c r="N54" i="26" s="1"/>
  <c r="N55" i="26" s="1"/>
  <c r="N56" i="26" s="1"/>
  <c r="N57" i="26" s="1"/>
  <c r="N58" i="26" s="1"/>
  <c r="N59" i="26" s="1"/>
  <c r="N60" i="26" s="1"/>
  <c r="N61" i="26" s="1"/>
  <c r="N62" i="26" s="1"/>
  <c r="N63" i="26" s="1"/>
  <c r="N64" i="26" s="1"/>
  <c r="N65" i="26" s="1"/>
  <c r="N66" i="26" s="1"/>
  <c r="N67" i="26" s="1"/>
  <c r="N68" i="26" s="1"/>
  <c r="N69" i="26" s="1"/>
  <c r="N70" i="26" s="1"/>
  <c r="N71" i="26" s="1"/>
  <c r="N72" i="26" s="1"/>
  <c r="N73" i="26" s="1"/>
  <c r="N74" i="26" s="1"/>
  <c r="N75" i="26" s="1"/>
  <c r="N76" i="26" s="1"/>
  <c r="N77" i="26" s="1"/>
  <c r="N78" i="26" s="1"/>
  <c r="N79" i="26" s="1"/>
  <c r="N80" i="26" s="1"/>
  <c r="N81" i="26" s="1"/>
  <c r="N82" i="26" s="1"/>
  <c r="N83" i="26" s="1"/>
  <c r="N84" i="26" s="1"/>
  <c r="N85" i="26" s="1"/>
  <c r="N86" i="26" s="1"/>
  <c r="N87" i="26" s="1"/>
  <c r="N88" i="26" s="1"/>
  <c r="N89" i="26" s="1"/>
  <c r="N90" i="26" s="1"/>
  <c r="N91" i="26" s="1"/>
  <c r="N92" i="26" s="1"/>
  <c r="N93" i="26" s="1"/>
  <c r="N94" i="26" s="1"/>
  <c r="N95" i="26" s="1"/>
  <c r="N96" i="26" s="1"/>
  <c r="N97" i="26" s="1"/>
  <c r="N98" i="26" s="1"/>
  <c r="N99" i="26" s="1"/>
  <c r="N100" i="26" s="1"/>
  <c r="N101" i="26" s="1"/>
  <c r="N102" i="26" s="1"/>
  <c r="N103" i="26" s="1"/>
  <c r="N104" i="26" s="1"/>
  <c r="N105" i="26" s="1"/>
  <c r="N106" i="26" s="1"/>
  <c r="N107" i="26" s="1"/>
  <c r="N108" i="26" s="1"/>
  <c r="N109" i="26" s="1"/>
  <c r="N110" i="26" s="1"/>
  <c r="N111" i="26" s="1"/>
  <c r="N112" i="26" s="1"/>
  <c r="N113" i="26" s="1"/>
  <c r="AL68" i="26"/>
  <c r="AE68" i="26"/>
  <c r="AD68" i="26"/>
  <c r="AG68" i="26"/>
  <c r="Q69" i="26"/>
  <c r="L69" i="26"/>
  <c r="K68" i="26"/>
  <c r="AQ69" i="26"/>
  <c r="AG69" i="26"/>
  <c r="U71" i="26"/>
  <c r="A70" i="26"/>
  <c r="Y71" i="26" l="1"/>
  <c r="AI71" i="26"/>
  <c r="AD69" i="26"/>
  <c r="AE69" i="26"/>
  <c r="S70" i="26"/>
  <c r="Q70" i="26"/>
  <c r="L70" i="26"/>
  <c r="K69" i="26"/>
  <c r="AQ70" i="26"/>
  <c r="U72" i="26"/>
  <c r="A71" i="26"/>
  <c r="Y72" i="26" l="1"/>
  <c r="AI72" i="26"/>
  <c r="AD70" i="26"/>
  <c r="AE70" i="26"/>
  <c r="AL70" i="26"/>
  <c r="S71" i="26"/>
  <c r="AG70" i="26"/>
  <c r="AG71" i="26"/>
  <c r="Q71" i="26"/>
  <c r="L71" i="26"/>
  <c r="K70" i="26"/>
  <c r="U73" i="26"/>
  <c r="A72" i="26"/>
  <c r="S72" i="26" s="1"/>
  <c r="AQ71" i="26"/>
  <c r="Y73" i="26" l="1"/>
  <c r="AI73" i="26"/>
  <c r="AL72" i="26"/>
  <c r="AD72" i="26"/>
  <c r="AE72" i="26"/>
  <c r="AL71" i="26"/>
  <c r="AD71" i="26"/>
  <c r="AE71" i="26"/>
  <c r="K71" i="26"/>
  <c r="Q72" i="26"/>
  <c r="L72" i="26"/>
  <c r="AQ72" i="26"/>
  <c r="U74" i="26"/>
  <c r="A73" i="26"/>
  <c r="Y74" i="26" l="1"/>
  <c r="AI74" i="26"/>
  <c r="S73" i="26"/>
  <c r="K72" i="26"/>
  <c r="Q73" i="26"/>
  <c r="L73" i="26"/>
  <c r="AG72" i="26"/>
  <c r="AQ73" i="26"/>
  <c r="U75" i="26"/>
  <c r="A74" i="26"/>
  <c r="Y75" i="26" l="1"/>
  <c r="AI75" i="26"/>
  <c r="AE73" i="26"/>
  <c r="AD73" i="26"/>
  <c r="AL73" i="26"/>
  <c r="S74" i="26"/>
  <c r="AG73" i="26"/>
  <c r="Q74" i="26"/>
  <c r="L74" i="26"/>
  <c r="K73" i="26"/>
  <c r="U76" i="26"/>
  <c r="A75" i="26"/>
  <c r="S75" i="26" s="1"/>
  <c r="AQ74" i="26"/>
  <c r="Y76" i="26" l="1"/>
  <c r="AI76" i="26"/>
  <c r="AL75" i="26"/>
  <c r="AE75" i="26"/>
  <c r="AD75" i="26"/>
  <c r="AD74" i="26"/>
  <c r="AE74" i="26"/>
  <c r="AL74" i="26"/>
  <c r="AG74" i="26"/>
  <c r="K74" i="26"/>
  <c r="L75" i="26"/>
  <c r="Q75" i="26"/>
  <c r="AQ75" i="26"/>
  <c r="U77" i="26"/>
  <c r="A76" i="26"/>
  <c r="Y77" i="26" l="1"/>
  <c r="AI77" i="26"/>
  <c r="S76" i="26"/>
  <c r="Q76" i="26"/>
  <c r="L76" i="26"/>
  <c r="K75" i="26"/>
  <c r="AG75" i="26"/>
  <c r="U78" i="26"/>
  <c r="A77" i="26"/>
  <c r="AQ76" i="26"/>
  <c r="Y78" i="26" l="1"/>
  <c r="AI78" i="26"/>
  <c r="AL76" i="26"/>
  <c r="AD76" i="26"/>
  <c r="AE76" i="26"/>
  <c r="V78" i="26"/>
  <c r="S77" i="26"/>
  <c r="AA79" i="26"/>
  <c r="X79" i="26"/>
  <c r="Z79" i="26"/>
  <c r="V79" i="26"/>
  <c r="W79" i="26"/>
  <c r="AG76" i="26"/>
  <c r="K76" i="26"/>
  <c r="L77" i="26"/>
  <c r="Q77" i="26"/>
  <c r="AQ77" i="26"/>
  <c r="U79" i="26"/>
  <c r="A78" i="26"/>
  <c r="S79" i="26" s="1"/>
  <c r="Y79" i="26" l="1"/>
  <c r="AI79" i="26"/>
  <c r="AL77" i="26"/>
  <c r="AE77" i="26"/>
  <c r="AD77" i="26"/>
  <c r="S78" i="26"/>
  <c r="AP79" i="26"/>
  <c r="AL79" i="26"/>
  <c r="AB79" i="26"/>
  <c r="AD79" i="26"/>
  <c r="AE79" i="26"/>
  <c r="X80" i="26"/>
  <c r="V80" i="26"/>
  <c r="W80" i="26"/>
  <c r="Z80" i="26"/>
  <c r="AA80" i="26"/>
  <c r="L78" i="26"/>
  <c r="Q78" i="26"/>
  <c r="AG77" i="26"/>
  <c r="K77" i="26"/>
  <c r="AQ78" i="26"/>
  <c r="AG78" i="26"/>
  <c r="U80" i="26"/>
  <c r="A79" i="26"/>
  <c r="S80" i="26" s="1"/>
  <c r="Y80" i="26" l="1"/>
  <c r="AI80" i="26"/>
  <c r="AP78" i="26"/>
  <c r="AL78" i="26"/>
  <c r="AD78" i="26"/>
  <c r="AE78" i="26"/>
  <c r="AL80" i="26"/>
  <c r="AP80" i="26"/>
  <c r="AD80" i="26"/>
  <c r="AE80" i="26"/>
  <c r="Z81" i="26"/>
  <c r="AA81" i="26"/>
  <c r="V81" i="26"/>
  <c r="W81" i="26"/>
  <c r="X81" i="26"/>
  <c r="AB80" i="26"/>
  <c r="Q79" i="26"/>
  <c r="L79" i="26"/>
  <c r="K78" i="26"/>
  <c r="U81" i="26"/>
  <c r="A80" i="26"/>
  <c r="S81" i="26" s="1"/>
  <c r="AG79" i="26"/>
  <c r="AQ79" i="26"/>
  <c r="Y81" i="26" l="1"/>
  <c r="AI81" i="26"/>
  <c r="AP81" i="26"/>
  <c r="AL81" i="26"/>
  <c r="AD81" i="26"/>
  <c r="AE81" i="26"/>
  <c r="AA82" i="26"/>
  <c r="V82" i="26"/>
  <c r="X82" i="26"/>
  <c r="W82" i="26"/>
  <c r="Z82" i="26"/>
  <c r="AB81" i="26"/>
  <c r="K79" i="26"/>
  <c r="Q80" i="26"/>
  <c r="L80" i="26"/>
  <c r="U82" i="26"/>
  <c r="A81" i="26"/>
  <c r="S82" i="26" s="1"/>
  <c r="AQ80" i="26"/>
  <c r="Y82" i="26" l="1"/>
  <c r="AI82" i="26"/>
  <c r="AP82" i="26"/>
  <c r="AL82" i="26"/>
  <c r="AB82" i="26"/>
  <c r="AD82" i="26"/>
  <c r="AE82" i="26"/>
  <c r="V83" i="26"/>
  <c r="W83" i="26"/>
  <c r="X83" i="26"/>
  <c r="AA83" i="26"/>
  <c r="Z83" i="26"/>
  <c r="AG80" i="26"/>
  <c r="K80" i="26"/>
  <c r="Q81" i="26"/>
  <c r="L81" i="26"/>
  <c r="AQ81" i="26"/>
  <c r="U83" i="26"/>
  <c r="A82" i="26"/>
  <c r="S83" i="26" s="1"/>
  <c r="Y83" i="26" l="1"/>
  <c r="AI83" i="26"/>
  <c r="AP83" i="26"/>
  <c r="AL83" i="26"/>
  <c r="AB83" i="26"/>
  <c r="AE83" i="26"/>
  <c r="AD83" i="26"/>
  <c r="X84" i="26"/>
  <c r="Z84" i="26"/>
  <c r="AA84" i="26"/>
  <c r="V84" i="26"/>
  <c r="W84" i="26"/>
  <c r="K81" i="26"/>
  <c r="AG81" i="26"/>
  <c r="Q82" i="26"/>
  <c r="L82" i="26"/>
  <c r="AQ82" i="26"/>
  <c r="U84" i="26"/>
  <c r="A83" i="26"/>
  <c r="S84" i="26" s="1"/>
  <c r="Y84" i="26" l="1"/>
  <c r="AI84" i="26"/>
  <c r="AL84" i="26"/>
  <c r="AP84" i="26"/>
  <c r="AD84" i="26"/>
  <c r="AE84" i="26"/>
  <c r="AB84" i="26"/>
  <c r="V85" i="26"/>
  <c r="AA85" i="26"/>
  <c r="W85" i="26"/>
  <c r="Z85" i="26"/>
  <c r="X85" i="26"/>
  <c r="AG82" i="26"/>
  <c r="K82" i="26"/>
  <c r="Q83" i="26"/>
  <c r="L83" i="26"/>
  <c r="U85" i="26"/>
  <c r="A84" i="26"/>
  <c r="S85" i="26" s="1"/>
  <c r="AQ83" i="26"/>
  <c r="Y85" i="26" l="1"/>
  <c r="AI85" i="26"/>
  <c r="AP85" i="26"/>
  <c r="AL85" i="26"/>
  <c r="AE85" i="26"/>
  <c r="AD85" i="26"/>
  <c r="AB85" i="26"/>
  <c r="Z86" i="26"/>
  <c r="V86" i="26"/>
  <c r="W86" i="26"/>
  <c r="X86" i="26"/>
  <c r="AA86" i="26"/>
  <c r="K83" i="26"/>
  <c r="Q84" i="26"/>
  <c r="L84" i="26"/>
  <c r="AG83" i="26"/>
  <c r="AQ84" i="26"/>
  <c r="U86" i="26"/>
  <c r="A85" i="26"/>
  <c r="S86" i="26" s="1"/>
  <c r="Y86" i="26" l="1"/>
  <c r="AI86" i="26"/>
  <c r="AP86" i="26"/>
  <c r="AL86" i="26"/>
  <c r="AB86" i="26"/>
  <c r="AE86" i="26"/>
  <c r="AD86" i="26"/>
  <c r="W87" i="26"/>
  <c r="X87" i="26"/>
  <c r="V87" i="26"/>
  <c r="AA87" i="26"/>
  <c r="Z87" i="26"/>
  <c r="AG84" i="26"/>
  <c r="K84" i="26"/>
  <c r="Q85" i="26"/>
  <c r="L85" i="26"/>
  <c r="AQ85" i="26"/>
  <c r="U87" i="26"/>
  <c r="A86" i="26"/>
  <c r="S87" i="26" s="1"/>
  <c r="Y87" i="26" l="1"/>
  <c r="AI87" i="26"/>
  <c r="AP87" i="26"/>
  <c r="AL87" i="26"/>
  <c r="AB87" i="26"/>
  <c r="AD87" i="26"/>
  <c r="AE87" i="26"/>
  <c r="Z88" i="26"/>
  <c r="AA88" i="26"/>
  <c r="X88" i="26"/>
  <c r="V88" i="26"/>
  <c r="W88" i="26"/>
  <c r="K85" i="26"/>
  <c r="Q86" i="26"/>
  <c r="L86" i="26"/>
  <c r="AG85" i="26"/>
  <c r="AQ86" i="26"/>
  <c r="U88" i="26"/>
  <c r="A87" i="26"/>
  <c r="S88" i="26" s="1"/>
  <c r="Y88" i="26" l="1"/>
  <c r="AI88" i="26"/>
  <c r="AP88" i="26"/>
  <c r="AL88" i="26"/>
  <c r="AD88" i="26"/>
  <c r="AE88" i="26"/>
  <c r="AA89" i="26"/>
  <c r="V89" i="26"/>
  <c r="X89" i="26"/>
  <c r="Z89" i="26"/>
  <c r="W89" i="26"/>
  <c r="AB88" i="26"/>
  <c r="AG86" i="26"/>
  <c r="K86" i="26"/>
  <c r="Q87" i="26"/>
  <c r="L87" i="26"/>
  <c r="U89" i="26"/>
  <c r="A88" i="26"/>
  <c r="S89" i="26" s="1"/>
  <c r="AQ87" i="26"/>
  <c r="Y89" i="26" l="1"/>
  <c r="AI89" i="26"/>
  <c r="AB89" i="26"/>
  <c r="AP89" i="26"/>
  <c r="AL89" i="26"/>
  <c r="AD89" i="26"/>
  <c r="AE89" i="26"/>
  <c r="X90" i="26"/>
  <c r="V90" i="26"/>
  <c r="W90" i="26"/>
  <c r="Z90" i="26"/>
  <c r="AA90" i="26"/>
  <c r="K87" i="26"/>
  <c r="Q88" i="26"/>
  <c r="L88" i="26"/>
  <c r="AG87" i="26"/>
  <c r="AQ88" i="26"/>
  <c r="U90" i="26"/>
  <c r="A89" i="26"/>
  <c r="S90" i="26" s="1"/>
  <c r="Y90" i="26" l="1"/>
  <c r="AI90" i="26"/>
  <c r="AL90" i="26"/>
  <c r="AP90" i="26"/>
  <c r="AD90" i="26"/>
  <c r="AE90" i="26"/>
  <c r="Z91" i="26"/>
  <c r="X91" i="26"/>
  <c r="AA91" i="26"/>
  <c r="V91" i="26"/>
  <c r="W91" i="26"/>
  <c r="AB90" i="26"/>
  <c r="AG88" i="26"/>
  <c r="K88" i="26"/>
  <c r="Q89" i="26"/>
  <c r="L89" i="26"/>
  <c r="AQ89" i="26"/>
  <c r="U91" i="26"/>
  <c r="A90" i="26"/>
  <c r="S91" i="26" s="1"/>
  <c r="Y91" i="26" l="1"/>
  <c r="AI91" i="26"/>
  <c r="AP91" i="26"/>
  <c r="AL91" i="26"/>
  <c r="AD91" i="26"/>
  <c r="AE91" i="26"/>
  <c r="V92" i="26"/>
  <c r="AA92" i="26"/>
  <c r="X92" i="26"/>
  <c r="W92" i="26"/>
  <c r="Z92" i="26"/>
  <c r="AB91" i="26"/>
  <c r="AG89" i="26"/>
  <c r="K89" i="26"/>
  <c r="Q90" i="26"/>
  <c r="L90" i="26"/>
  <c r="AQ90" i="26"/>
  <c r="U92" i="26"/>
  <c r="A91" i="26"/>
  <c r="S92" i="26" s="1"/>
  <c r="Y92" i="26" l="1"/>
  <c r="AI92" i="26"/>
  <c r="AP92" i="26"/>
  <c r="AL92" i="26"/>
  <c r="AB92" i="26"/>
  <c r="AD92" i="26"/>
  <c r="AE92" i="26"/>
  <c r="X93" i="26"/>
  <c r="Z93" i="26"/>
  <c r="V93" i="26"/>
  <c r="AA93" i="26"/>
  <c r="W93" i="26"/>
  <c r="AG90" i="26"/>
  <c r="Q91" i="26"/>
  <c r="L91" i="26"/>
  <c r="K90" i="26"/>
  <c r="U93" i="26"/>
  <c r="A92" i="26"/>
  <c r="S93" i="26" s="1"/>
  <c r="AQ91" i="26"/>
  <c r="Y93" i="26" l="1"/>
  <c r="AI93" i="26"/>
  <c r="AP93" i="26"/>
  <c r="AL93" i="26"/>
  <c r="AE93" i="26"/>
  <c r="AD93" i="26"/>
  <c r="AA94" i="26"/>
  <c r="W94" i="26"/>
  <c r="X94" i="26"/>
  <c r="Z94" i="26"/>
  <c r="V94" i="26"/>
  <c r="AB93" i="26"/>
  <c r="AG91" i="26"/>
  <c r="Q92" i="26"/>
  <c r="L92" i="26"/>
  <c r="K91" i="26"/>
  <c r="AQ92" i="26"/>
  <c r="U94" i="26"/>
  <c r="A93" i="26"/>
  <c r="S94" i="26" s="1"/>
  <c r="Y94" i="26" l="1"/>
  <c r="AI94" i="26"/>
  <c r="AB94" i="26"/>
  <c r="AL94" i="26"/>
  <c r="AP94" i="26"/>
  <c r="AD94" i="26"/>
  <c r="AE94" i="26"/>
  <c r="W95" i="26"/>
  <c r="Z95" i="26"/>
  <c r="V95" i="26"/>
  <c r="X95" i="26"/>
  <c r="AA95" i="26"/>
  <c r="AG92" i="26"/>
  <c r="K92" i="26"/>
  <c r="Q93" i="26"/>
  <c r="L93" i="26"/>
  <c r="AQ93" i="26"/>
  <c r="AG93" i="26"/>
  <c r="U95" i="26"/>
  <c r="A94" i="26"/>
  <c r="S95" i="26" s="1"/>
  <c r="Y95" i="26" l="1"/>
  <c r="AI95" i="26"/>
  <c r="AL95" i="26"/>
  <c r="AP95" i="26"/>
  <c r="AE95" i="26"/>
  <c r="AD95" i="26"/>
  <c r="V96" i="26"/>
  <c r="W96" i="26"/>
  <c r="Z96" i="26"/>
  <c r="X96" i="26"/>
  <c r="AA96" i="26"/>
  <c r="AB95" i="26"/>
  <c r="K93" i="26"/>
  <c r="Q94" i="26"/>
  <c r="L94" i="26"/>
  <c r="AQ94" i="26"/>
  <c r="U96" i="26"/>
  <c r="A95" i="26"/>
  <c r="S96" i="26" s="1"/>
  <c r="Y96" i="26" l="1"/>
  <c r="AI96" i="26"/>
  <c r="AP96" i="26"/>
  <c r="AL96" i="26"/>
  <c r="AE96" i="26"/>
  <c r="AD96" i="26"/>
  <c r="Z97" i="26"/>
  <c r="V97" i="26"/>
  <c r="W97" i="26"/>
  <c r="X97" i="26"/>
  <c r="AA97" i="26"/>
  <c r="AB96" i="26"/>
  <c r="AG94" i="26"/>
  <c r="K94" i="26"/>
  <c r="Q95" i="26"/>
  <c r="L95" i="26"/>
  <c r="AQ95" i="26"/>
  <c r="AG95" i="26"/>
  <c r="U97" i="26"/>
  <c r="A96" i="26"/>
  <c r="S97" i="26" s="1"/>
  <c r="Y97" i="26" l="1"/>
  <c r="AI97" i="26"/>
  <c r="AP97" i="26"/>
  <c r="AL97" i="26"/>
  <c r="AB97" i="26"/>
  <c r="AD97" i="26"/>
  <c r="AE97" i="26"/>
  <c r="Z98" i="26"/>
  <c r="V98" i="26"/>
  <c r="W98" i="26"/>
  <c r="X98" i="26"/>
  <c r="AA98" i="26"/>
  <c r="K95" i="26"/>
  <c r="Q96" i="26"/>
  <c r="L96" i="26"/>
  <c r="AQ96" i="26"/>
  <c r="U98" i="26"/>
  <c r="A97" i="26"/>
  <c r="S98" i="26" s="1"/>
  <c r="Y98" i="26" l="1"/>
  <c r="AI98" i="26"/>
  <c r="AP98" i="26"/>
  <c r="AL98" i="26"/>
  <c r="AE98" i="26"/>
  <c r="AD98" i="26"/>
  <c r="AA99" i="26"/>
  <c r="Z99" i="26"/>
  <c r="V99" i="26"/>
  <c r="X99" i="26"/>
  <c r="W99" i="26"/>
  <c r="AB98" i="26"/>
  <c r="AG96" i="26"/>
  <c r="K96" i="26"/>
  <c r="L97" i="26"/>
  <c r="Q97" i="26"/>
  <c r="AQ97" i="26"/>
  <c r="U99" i="26"/>
  <c r="A98" i="26"/>
  <c r="S99" i="26" s="1"/>
  <c r="Y99" i="26" l="1"/>
  <c r="AI99" i="26"/>
  <c r="AP99" i="26"/>
  <c r="AL99" i="26"/>
  <c r="AD99" i="26"/>
  <c r="AE99" i="26"/>
  <c r="X100" i="26"/>
  <c r="V100" i="26"/>
  <c r="W100" i="26"/>
  <c r="Z100" i="26"/>
  <c r="AA100" i="26"/>
  <c r="AB99" i="26"/>
  <c r="AG97" i="26"/>
  <c r="K97" i="26"/>
  <c r="Q98" i="26"/>
  <c r="L98" i="26"/>
  <c r="AQ98" i="26"/>
  <c r="AG98" i="26"/>
  <c r="U100" i="26"/>
  <c r="A99" i="26"/>
  <c r="S100" i="26" s="1"/>
  <c r="Y100" i="26" l="1"/>
  <c r="AI100" i="26"/>
  <c r="AL100" i="26"/>
  <c r="AP100" i="26"/>
  <c r="AD100" i="26"/>
  <c r="AE100" i="26"/>
  <c r="V101" i="26"/>
  <c r="Z101" i="26"/>
  <c r="AA101" i="26"/>
  <c r="W101" i="26"/>
  <c r="X101" i="26"/>
  <c r="AB100" i="26"/>
  <c r="K98" i="26"/>
  <c r="Q99" i="26"/>
  <c r="L99" i="26"/>
  <c r="U101" i="26"/>
  <c r="A100" i="26"/>
  <c r="S101" i="26" s="1"/>
  <c r="AQ99" i="26"/>
  <c r="AG99" i="26"/>
  <c r="Y101" i="26" l="1"/>
  <c r="AI101" i="26"/>
  <c r="AP101" i="26"/>
  <c r="AL101" i="26"/>
  <c r="AB101" i="26"/>
  <c r="AD101" i="26"/>
  <c r="AE101" i="26"/>
  <c r="AA102" i="26"/>
  <c r="V102" i="26"/>
  <c r="W102" i="26"/>
  <c r="Z102" i="26"/>
  <c r="X102" i="26"/>
  <c r="K99" i="26"/>
  <c r="Q100" i="26"/>
  <c r="L100" i="26"/>
  <c r="AQ100" i="26"/>
  <c r="AG100" i="26"/>
  <c r="U102" i="26"/>
  <c r="A101" i="26"/>
  <c r="S102" i="26" s="1"/>
  <c r="Y102" i="26" l="1"/>
  <c r="AI102" i="26"/>
  <c r="AB102" i="26"/>
  <c r="AP102" i="26"/>
  <c r="AL102" i="26"/>
  <c r="AD102" i="26"/>
  <c r="AE102" i="26"/>
  <c r="V103" i="26"/>
  <c r="W103" i="26"/>
  <c r="Z103" i="26"/>
  <c r="X103" i="26"/>
  <c r="AA103" i="26"/>
  <c r="K100" i="26"/>
  <c r="Q101" i="26"/>
  <c r="L101" i="26"/>
  <c r="AG101" i="26"/>
  <c r="AQ101" i="26"/>
  <c r="U103" i="26"/>
  <c r="A102" i="26"/>
  <c r="S103" i="26" s="1"/>
  <c r="Y103" i="26" l="1"/>
  <c r="AI103" i="26"/>
  <c r="AP103" i="26"/>
  <c r="AL103" i="26"/>
  <c r="AD103" i="26"/>
  <c r="AE103" i="26"/>
  <c r="AB103" i="26"/>
  <c r="X104" i="26"/>
  <c r="Z104" i="26"/>
  <c r="V104" i="26"/>
  <c r="W104" i="26"/>
  <c r="AA104" i="26"/>
  <c r="K101" i="26"/>
  <c r="L102" i="26"/>
  <c r="Q102" i="26"/>
  <c r="AQ102" i="26"/>
  <c r="U104" i="26"/>
  <c r="A103" i="26"/>
  <c r="S104" i="26" s="1"/>
  <c r="Y104" i="26" l="1"/>
  <c r="AI104" i="26"/>
  <c r="AL104" i="26"/>
  <c r="AP104" i="26"/>
  <c r="AD104" i="26"/>
  <c r="AE104" i="26"/>
  <c r="V105" i="26"/>
  <c r="AA105" i="26"/>
  <c r="X105" i="26"/>
  <c r="W105" i="26"/>
  <c r="Z105" i="26"/>
  <c r="AB104" i="26"/>
  <c r="AG102" i="26"/>
  <c r="K102" i="26"/>
  <c r="L103" i="26"/>
  <c r="Q103" i="26"/>
  <c r="U105" i="26"/>
  <c r="A104" i="26"/>
  <c r="S105" i="26" s="1"/>
  <c r="AQ103" i="26"/>
  <c r="Y105" i="26" l="1"/>
  <c r="AI105" i="26"/>
  <c r="AB105" i="26"/>
  <c r="AP105" i="26"/>
  <c r="AL105" i="26"/>
  <c r="AE105" i="26"/>
  <c r="AD105" i="26"/>
  <c r="Z106" i="26"/>
  <c r="W106" i="26"/>
  <c r="V106" i="26"/>
  <c r="AA106" i="26"/>
  <c r="X106" i="26"/>
  <c r="AG103" i="26"/>
  <c r="K103" i="26"/>
  <c r="Q104" i="26"/>
  <c r="L104" i="26"/>
  <c r="AQ104" i="26"/>
  <c r="U106" i="26"/>
  <c r="A105" i="26"/>
  <c r="S106" i="26" s="1"/>
  <c r="Y106" i="26" l="1"/>
  <c r="AI106" i="26"/>
  <c r="AB106" i="26"/>
  <c r="AP106" i="26"/>
  <c r="AL106" i="26"/>
  <c r="AE106" i="26"/>
  <c r="AD106" i="26"/>
  <c r="Z107" i="26"/>
  <c r="W107" i="26"/>
  <c r="AA107" i="26"/>
  <c r="X107" i="26"/>
  <c r="V107" i="26"/>
  <c r="AG104" i="26"/>
  <c r="K104" i="26"/>
  <c r="Q105" i="26"/>
  <c r="L105" i="26"/>
  <c r="AQ105" i="26"/>
  <c r="U107" i="26"/>
  <c r="A106" i="26"/>
  <c r="S107" i="26" s="1"/>
  <c r="Y107" i="26" l="1"/>
  <c r="AI107" i="26"/>
  <c r="AP107" i="26"/>
  <c r="AL107" i="26"/>
  <c r="AD107" i="26"/>
  <c r="AE107" i="26"/>
  <c r="Z108" i="26"/>
  <c r="AA108" i="26"/>
  <c r="W108" i="26"/>
  <c r="X108" i="26"/>
  <c r="V108" i="26"/>
  <c r="AB107" i="26"/>
  <c r="AG105" i="26"/>
  <c r="K105" i="26"/>
  <c r="Q106" i="26"/>
  <c r="L106" i="26"/>
  <c r="AQ106" i="26"/>
  <c r="U108" i="26"/>
  <c r="A107" i="26"/>
  <c r="S108" i="26" s="1"/>
  <c r="Y108" i="26" l="1"/>
  <c r="AI108" i="26"/>
  <c r="AP108" i="26"/>
  <c r="AL108" i="26"/>
  <c r="AE108" i="26"/>
  <c r="AD108" i="26"/>
  <c r="Z109" i="26"/>
  <c r="V109" i="26"/>
  <c r="X109" i="26"/>
  <c r="W109" i="26"/>
  <c r="AA109" i="26"/>
  <c r="AB108" i="26"/>
  <c r="AG106" i="26"/>
  <c r="Q107" i="26"/>
  <c r="L107" i="26"/>
  <c r="K106" i="26"/>
  <c r="AQ107" i="26"/>
  <c r="U109" i="26"/>
  <c r="A108" i="26"/>
  <c r="S109" i="26" s="1"/>
  <c r="Y109" i="26" l="1"/>
  <c r="AI109" i="26"/>
  <c r="AB109" i="26"/>
  <c r="AP109" i="26"/>
  <c r="AL109" i="26"/>
  <c r="AD109" i="26"/>
  <c r="AE109" i="26"/>
  <c r="X110" i="26"/>
  <c r="W110" i="26"/>
  <c r="V110" i="26"/>
  <c r="Z110" i="26"/>
  <c r="AA110" i="26"/>
  <c r="AG108" i="26"/>
  <c r="AG107" i="26"/>
  <c r="K107" i="26"/>
  <c r="Q108" i="26"/>
  <c r="L108" i="26"/>
  <c r="AQ108" i="26"/>
  <c r="U110" i="26"/>
  <c r="A109" i="26"/>
  <c r="S110" i="26" s="1"/>
  <c r="Y110" i="26" l="1"/>
  <c r="AI110" i="26"/>
  <c r="AP110" i="26"/>
  <c r="AL110" i="26"/>
  <c r="AD110" i="26"/>
  <c r="AE110" i="26"/>
  <c r="AB110" i="26"/>
  <c r="Z111" i="26"/>
  <c r="AA111" i="26"/>
  <c r="V111" i="26"/>
  <c r="W111" i="26"/>
  <c r="X111" i="26"/>
  <c r="AG109" i="26"/>
  <c r="K108" i="26"/>
  <c r="Q109" i="26"/>
  <c r="L109" i="26"/>
  <c r="AQ109" i="26"/>
  <c r="U111" i="26"/>
  <c r="A110" i="26"/>
  <c r="S111" i="26" s="1"/>
  <c r="Y111" i="26" l="1"/>
  <c r="AI111" i="26"/>
  <c r="AP111" i="26"/>
  <c r="AL111" i="26"/>
  <c r="AD111" i="26"/>
  <c r="AE111" i="26"/>
  <c r="V112" i="26"/>
  <c r="W112" i="26"/>
  <c r="X112" i="26"/>
  <c r="Z112" i="26"/>
  <c r="AA112" i="26"/>
  <c r="AB111" i="26"/>
  <c r="K109" i="26"/>
  <c r="Q110" i="26"/>
  <c r="L110" i="26"/>
  <c r="AQ110" i="26"/>
  <c r="AG110" i="26"/>
  <c r="U112" i="26"/>
  <c r="A111" i="26"/>
  <c r="S112" i="26" s="1"/>
  <c r="Y112" i="26" l="1"/>
  <c r="AI112" i="26"/>
  <c r="AP112" i="26"/>
  <c r="AL112" i="26"/>
  <c r="AD112" i="26"/>
  <c r="AE112" i="26"/>
  <c r="W113" i="26"/>
  <c r="AA113" i="26"/>
  <c r="Z113" i="26"/>
  <c r="V113" i="26"/>
  <c r="X113" i="26"/>
  <c r="AB112" i="26"/>
  <c r="K110" i="26"/>
  <c r="Q111" i="26"/>
  <c r="L111" i="26"/>
  <c r="AQ111" i="26"/>
  <c r="U113" i="26"/>
  <c r="A112" i="26"/>
  <c r="S113" i="26" s="1"/>
  <c r="Y113" i="26" l="1"/>
  <c r="AI113" i="26"/>
  <c r="AP113" i="26"/>
  <c r="AL113" i="26"/>
  <c r="AB113" i="26"/>
  <c r="AD113" i="26"/>
  <c r="AE113" i="26"/>
  <c r="V114" i="26"/>
  <c r="Z114" i="26"/>
  <c r="AA114" i="26"/>
  <c r="W114" i="26"/>
  <c r="X114" i="26"/>
  <c r="AG111" i="26"/>
  <c r="Q112" i="26"/>
  <c r="L112" i="26"/>
  <c r="K111" i="26"/>
  <c r="AQ112" i="26"/>
  <c r="AG112" i="26"/>
  <c r="A113" i="26"/>
  <c r="S114" i="26" s="1"/>
  <c r="AL114" i="26" l="1"/>
  <c r="AP114" i="26"/>
  <c r="AD114" i="26"/>
  <c r="AE114" i="26"/>
  <c r="AB114" i="26"/>
  <c r="L113" i="26"/>
  <c r="Q113" i="26"/>
  <c r="K112" i="26"/>
  <c r="AQ113" i="26"/>
  <c r="AG113" i="26"/>
  <c r="K113" i="26" l="1"/>
  <c r="L114" i="26"/>
  <c r="AH41" i="26" l="1"/>
  <c r="AH42" i="26" s="1"/>
  <c r="AH43" i="26" s="1"/>
  <c r="AH44" i="26" s="1"/>
  <c r="AH45" i="26" s="1"/>
  <c r="AH46" i="26" s="1"/>
  <c r="AH47" i="26" s="1"/>
  <c r="AH48" i="26" s="1"/>
  <c r="AH49" i="26" s="1"/>
  <c r="AH50" i="26" s="1"/>
  <c r="AH51" i="26" s="1"/>
  <c r="AH52" i="26" s="1"/>
  <c r="AH53" i="26" s="1"/>
  <c r="AH54" i="26" s="1"/>
  <c r="AH55" i="26" s="1"/>
  <c r="AH56" i="26" s="1"/>
  <c r="AH57" i="26" s="1"/>
  <c r="AH58" i="26" s="1"/>
  <c r="AH59" i="26" s="1"/>
  <c r="AH60" i="26" s="1"/>
  <c r="AH61" i="26" s="1"/>
  <c r="AH62" i="26" s="1"/>
  <c r="AH63" i="26" s="1"/>
  <c r="AH64" i="26" s="1"/>
  <c r="AH65" i="26" s="1"/>
  <c r="AH66" i="26" s="1"/>
  <c r="AH67" i="26" s="1"/>
  <c r="AH68" i="26" s="1"/>
  <c r="AH69" i="26" s="1"/>
  <c r="AH70" i="26" s="1"/>
  <c r="AH71" i="26" s="1"/>
  <c r="AH72" i="26" s="1"/>
  <c r="AH73" i="26" s="1"/>
  <c r="AH74" i="26" s="1"/>
  <c r="AH75" i="26" s="1"/>
  <c r="AH76" i="26" s="1"/>
  <c r="AH77" i="26" s="1"/>
  <c r="AH78" i="26" s="1"/>
  <c r="AH79" i="26" s="1"/>
  <c r="AH80" i="26" s="1"/>
  <c r="AH81" i="26" s="1"/>
  <c r="AH82" i="26" s="1"/>
  <c r="AH83" i="26" s="1"/>
  <c r="AH84" i="26" s="1"/>
  <c r="AH85" i="26" s="1"/>
  <c r="AH86" i="26" s="1"/>
  <c r="AH87" i="26" s="1"/>
  <c r="AH88" i="26" s="1"/>
  <c r="AH89" i="26" s="1"/>
  <c r="AH90" i="26" s="1"/>
  <c r="AH91" i="26" s="1"/>
  <c r="AH92" i="26" s="1"/>
  <c r="AH93" i="26" s="1"/>
  <c r="AH94" i="26" s="1"/>
  <c r="AH95" i="26" s="1"/>
  <c r="AH96" i="26" s="1"/>
  <c r="AH97" i="26" s="1"/>
  <c r="AH98" i="26" s="1"/>
  <c r="AH99" i="26" s="1"/>
  <c r="AH100" i="26" s="1"/>
  <c r="AH101" i="26" s="1"/>
  <c r="AI18" i="26"/>
  <c r="S17" i="26" s="1"/>
  <c r="D28" i="26"/>
  <c r="L115" i="26"/>
  <c r="G23" i="26" s="1"/>
  <c r="K114" i="26"/>
  <c r="K115" i="26" s="1"/>
  <c r="AH114" i="26" l="1"/>
  <c r="AH102" i="26"/>
  <c r="AH103" i="26" s="1"/>
  <c r="AH104" i="26" s="1"/>
  <c r="AH105" i="26" s="1"/>
  <c r="AH106" i="26" s="1"/>
  <c r="AH107" i="26" s="1"/>
  <c r="AH108" i="26" s="1"/>
  <c r="AH109" i="26" s="1"/>
  <c r="AH110" i="26" s="1"/>
  <c r="AH111" i="26" s="1"/>
  <c r="AH112" i="26" s="1"/>
  <c r="AH113" i="26" s="1"/>
  <c r="P54" i="26" l="1"/>
  <c r="P55" i="26" l="1"/>
  <c r="P56" i="26" l="1"/>
  <c r="P57" i="26" l="1"/>
  <c r="P58" i="26" l="1"/>
  <c r="P59" i="26" l="1"/>
  <c r="P60" i="26" l="1"/>
  <c r="P61" i="26" l="1"/>
  <c r="P62" i="26" l="1"/>
  <c r="P63" i="26" l="1"/>
  <c r="P64" i="26" l="1"/>
  <c r="P65" i="26" l="1"/>
  <c r="P66" i="26" l="1"/>
  <c r="P67" i="26" l="1"/>
  <c r="P68" i="26" l="1"/>
  <c r="P69" i="26" l="1"/>
  <c r="P70" i="26" l="1"/>
  <c r="P71" i="26" l="1"/>
  <c r="P72" i="26" l="1"/>
  <c r="P73" i="26" l="1"/>
  <c r="P74" i="26" l="1"/>
  <c r="P75" i="26" l="1"/>
  <c r="P76" i="26" l="1"/>
  <c r="P77" i="26" l="1"/>
  <c r="P78" i="26" l="1"/>
  <c r="P79" i="26" l="1"/>
  <c r="P80" i="26" l="1"/>
  <c r="P81" i="26" l="1"/>
  <c r="P82" i="26" l="1"/>
  <c r="P83" i="26" l="1"/>
  <c r="P84" i="26" l="1"/>
  <c r="P85" i="26" l="1"/>
  <c r="P86" i="26" l="1"/>
  <c r="P87" i="26" l="1"/>
  <c r="P88" i="26" l="1"/>
  <c r="P89" i="26" l="1"/>
  <c r="P90" i="26" l="1"/>
  <c r="P91" i="26" l="1"/>
  <c r="P92" i="26" l="1"/>
  <c r="P93" i="26" l="1"/>
  <c r="P94" i="26" l="1"/>
  <c r="P95" i="26" l="1"/>
  <c r="P96" i="26" l="1"/>
  <c r="P97" i="26" l="1"/>
  <c r="P98" i="26" l="1"/>
  <c r="P99" i="26" l="1"/>
  <c r="P100" i="26" l="1"/>
  <c r="P101" i="26" l="1"/>
  <c r="P102" i="26" l="1"/>
  <c r="P103" i="26" l="1"/>
  <c r="P104" i="26" l="1"/>
  <c r="P105" i="26" l="1"/>
  <c r="P106" i="26" l="1"/>
  <c r="P107" i="26" l="1"/>
  <c r="P108" i="26" l="1"/>
  <c r="P109" i="26" l="1"/>
  <c r="P110" i="26" l="1"/>
  <c r="P111" i="26" l="1"/>
  <c r="P112" i="26" l="1"/>
  <c r="P113" i="26" l="1"/>
  <c r="O112" i="26" l="1"/>
  <c r="O101" i="26"/>
  <c r="O90" i="26"/>
  <c r="O71" i="26"/>
  <c r="O111" i="26"/>
  <c r="O100" i="26"/>
  <c r="O89" i="26"/>
  <c r="O72" i="26"/>
  <c r="O91" i="26"/>
  <c r="O110" i="26"/>
  <c r="O99" i="26"/>
  <c r="O88" i="26"/>
  <c r="O70" i="26"/>
  <c r="O98" i="26"/>
  <c r="O85" i="26"/>
  <c r="O108" i="26"/>
  <c r="O97" i="26"/>
  <c r="O84" i="26"/>
  <c r="O79" i="26"/>
  <c r="O73" i="26"/>
  <c r="O107" i="26"/>
  <c r="O95" i="26"/>
  <c r="O83" i="26"/>
  <c r="O102" i="26"/>
  <c r="O109" i="26"/>
  <c r="O105" i="26"/>
  <c r="O94" i="26"/>
  <c r="O82" i="26"/>
  <c r="O77" i="26"/>
  <c r="O104" i="26"/>
  <c r="O93" i="26"/>
  <c r="O81" i="26"/>
  <c r="O113" i="26"/>
  <c r="O103" i="26"/>
  <c r="O92" i="26"/>
  <c r="O80" i="26"/>
  <c r="O76" i="26"/>
  <c r="O87" i="26"/>
  <c r="O75" i="26"/>
  <c r="O106" i="26"/>
  <c r="O96" i="26"/>
  <c r="O86" i="26"/>
  <c r="O74" i="26"/>
  <c r="I105" i="26" l="1"/>
  <c r="I104" i="26"/>
  <c r="I103" i="26"/>
  <c r="I102" i="26"/>
  <c r="I113" i="26"/>
  <c r="I106" i="26"/>
  <c r="I109" i="26"/>
  <c r="I112" i="26"/>
  <c r="I110" i="26"/>
  <c r="I111" i="26"/>
  <c r="I107" i="26"/>
  <c r="I108" i="26"/>
  <c r="I80" i="26"/>
  <c r="I100" i="26"/>
  <c r="I82" i="26"/>
  <c r="I97" i="26"/>
  <c r="I92" i="26"/>
  <c r="I84" i="26"/>
  <c r="I81" i="26"/>
  <c r="I93" i="26"/>
  <c r="I99" i="26"/>
  <c r="I94" i="26"/>
  <c r="I89" i="26"/>
  <c r="I98" i="26"/>
  <c r="I85" i="26"/>
  <c r="I86" i="26"/>
  <c r="I101" i="26"/>
  <c r="I90" i="26"/>
  <c r="I83" i="26"/>
  <c r="I78" i="26"/>
  <c r="I88" i="26"/>
  <c r="I95" i="26"/>
  <c r="I87" i="26"/>
  <c r="I79" i="26"/>
  <c r="I96" i="26"/>
  <c r="I91" i="26"/>
  <c r="I75" i="26"/>
  <c r="I71" i="26"/>
  <c r="I70" i="26"/>
  <c r="I76" i="26"/>
  <c r="I77" i="26"/>
  <c r="I72" i="26"/>
  <c r="I74" i="26"/>
  <c r="I73" i="26"/>
  <c r="AA71" i="26" l="1"/>
  <c r="AA73" i="26"/>
  <c r="AA72" i="26"/>
  <c r="AA74" i="26"/>
  <c r="AA75" i="26"/>
  <c r="AA76" i="26"/>
  <c r="AA77" i="26"/>
  <c r="Z71" i="26"/>
  <c r="Z73" i="26"/>
  <c r="Z72" i="26"/>
  <c r="Z74" i="26"/>
  <c r="Z75" i="26"/>
  <c r="Z76" i="26"/>
  <c r="AB75" i="26" l="1"/>
  <c r="AP75" i="26"/>
  <c r="AB74" i="26"/>
  <c r="AP74" i="26"/>
  <c r="AB72" i="26"/>
  <c r="AP72" i="26"/>
  <c r="AB73" i="26"/>
  <c r="AP73" i="26"/>
  <c r="AB71" i="26"/>
  <c r="AP71" i="26"/>
  <c r="AP70" i="26"/>
  <c r="AB76" i="26"/>
  <c r="AP76" i="26"/>
  <c r="D70" i="26" l="1"/>
  <c r="E71" i="26" l="1"/>
  <c r="G71" i="26"/>
  <c r="D78" i="26"/>
  <c r="D71" i="26" l="1"/>
  <c r="E79" i="26"/>
  <c r="E72" i="26" l="1"/>
  <c r="G72" i="26"/>
  <c r="G79" i="26"/>
  <c r="D72" i="26" l="1"/>
  <c r="D79" i="26"/>
  <c r="E73" i="26" l="1"/>
  <c r="G73" i="26"/>
  <c r="E80" i="26"/>
  <c r="D73" i="26" l="1"/>
  <c r="G80" i="26"/>
  <c r="E74" i="26" l="1"/>
  <c r="G74" i="26"/>
  <c r="D80" i="26"/>
  <c r="D74" i="26" l="1"/>
  <c r="E81" i="26"/>
  <c r="E75" i="26" l="1"/>
  <c r="G75" i="26"/>
  <c r="G81" i="26"/>
  <c r="D75" i="26" l="1"/>
  <c r="D81" i="26"/>
  <c r="E76" i="26" l="1"/>
  <c r="G76" i="26"/>
  <c r="E82" i="26"/>
  <c r="D76" i="26" l="1"/>
  <c r="G82" i="26"/>
  <c r="D82" i="26" l="1"/>
  <c r="E83" i="26" s="1"/>
  <c r="E77" i="26"/>
  <c r="G77" i="26"/>
  <c r="D77" i="26" l="1"/>
  <c r="G83" i="26"/>
  <c r="E78" i="26" l="1"/>
  <c r="G78" i="26"/>
  <c r="D83" i="26"/>
  <c r="E84" i="26" s="1"/>
  <c r="G84" i="26" l="1"/>
  <c r="D84" i="26" l="1"/>
  <c r="E85" i="26" s="1"/>
  <c r="G85" i="26" s="1"/>
  <c r="D85" i="26" l="1"/>
  <c r="E86" i="26" s="1"/>
  <c r="G86" i="26" l="1"/>
  <c r="D86" i="26"/>
  <c r="E87" i="26" s="1"/>
  <c r="G87" i="26" l="1"/>
  <c r="D87" i="26" l="1"/>
  <c r="E88" i="26" s="1"/>
  <c r="G88" i="26" l="1"/>
  <c r="D88" i="26" l="1"/>
  <c r="E89" i="26" s="1"/>
  <c r="G89" i="26" l="1"/>
  <c r="D89" i="26" l="1"/>
  <c r="E90" i="26" s="1"/>
  <c r="G90" i="26" l="1"/>
  <c r="D90" i="26" l="1"/>
  <c r="E91" i="26" s="1"/>
  <c r="G91" i="26" l="1"/>
  <c r="D91" i="26" l="1"/>
  <c r="E92" i="26" s="1"/>
  <c r="G92" i="26" l="1"/>
  <c r="D92" i="26"/>
  <c r="E93" i="26" s="1"/>
  <c r="G93" i="26" s="1"/>
  <c r="D93" i="26" l="1"/>
  <c r="E94" i="26" s="1"/>
  <c r="G94" i="26" l="1"/>
  <c r="D94" i="26" l="1"/>
  <c r="E95" i="26" s="1"/>
  <c r="G95" i="26" l="1"/>
  <c r="D95" i="26"/>
  <c r="E96" i="26" s="1"/>
  <c r="G96" i="26" l="1"/>
  <c r="D96" i="26"/>
  <c r="E97" i="26" s="1"/>
  <c r="G97" i="26" l="1"/>
  <c r="D97" i="26" l="1"/>
  <c r="E98" i="26" s="1"/>
  <c r="G98" i="26" l="1"/>
  <c r="D98" i="26"/>
  <c r="E99" i="26" s="1"/>
  <c r="G99" i="26" l="1"/>
  <c r="D99" i="26" l="1"/>
  <c r="E100" i="26" s="1"/>
  <c r="G100" i="26" l="1"/>
  <c r="D100" i="26"/>
  <c r="E101" i="26" s="1"/>
  <c r="G101" i="26" l="1"/>
  <c r="D101" i="26"/>
  <c r="E102" i="26" s="1"/>
  <c r="G102" i="26" l="1"/>
  <c r="D102" i="26" l="1"/>
  <c r="E103" i="26" s="1"/>
  <c r="G103" i="26" s="1"/>
  <c r="D103" i="26" l="1"/>
  <c r="E104" i="26" s="1"/>
  <c r="G104" i="26" s="1"/>
  <c r="D104" i="26" l="1"/>
  <c r="E105" i="26" s="1"/>
  <c r="G105" i="26" l="1"/>
  <c r="D105" i="26" l="1"/>
  <c r="E106" i="26" s="1"/>
  <c r="G106" i="26" l="1"/>
  <c r="D106" i="26"/>
  <c r="E107" i="26" s="1"/>
  <c r="G107" i="26" l="1"/>
  <c r="D107" i="26"/>
  <c r="E108" i="26" s="1"/>
  <c r="G108" i="26" l="1"/>
  <c r="D108" i="26"/>
  <c r="E109" i="26" s="1"/>
  <c r="G109" i="26" l="1"/>
  <c r="D109" i="26"/>
  <c r="E110" i="26" s="1"/>
  <c r="G110" i="26" l="1"/>
  <c r="D110" i="26"/>
  <c r="E111" i="26" s="1"/>
  <c r="G111" i="26" l="1"/>
  <c r="D111" i="26" l="1"/>
  <c r="G112" i="26" s="1"/>
  <c r="E112" i="26" l="1"/>
  <c r="D112" i="26"/>
  <c r="E113" i="26" s="1"/>
  <c r="G113" i="26" l="1"/>
  <c r="D113" i="26"/>
  <c r="X71" i="26" l="1"/>
  <c r="W71" i="26" l="1"/>
  <c r="V71" i="26" s="1"/>
  <c r="X72" i="26" l="1"/>
  <c r="W72" i="26" l="1"/>
  <c r="V72" i="26" s="1"/>
  <c r="X73" i="26" l="1"/>
  <c r="W73" i="26" l="1"/>
  <c r="V73" i="26" s="1"/>
  <c r="X74" i="26"/>
  <c r="W74" i="26" l="1"/>
  <c r="V74" i="26" s="1"/>
  <c r="X75" i="26"/>
  <c r="W75" i="26" s="1"/>
  <c r="V75" i="26" s="1"/>
  <c r="X76" i="26" l="1"/>
  <c r="W76" i="26" l="1"/>
  <c r="V76" i="26" s="1"/>
  <c r="W77" i="26" l="1"/>
  <c r="X77" i="26"/>
  <c r="X78" i="26" s="1"/>
  <c r="Z77" i="26" l="1"/>
  <c r="W78" i="26"/>
  <c r="V77" i="26"/>
  <c r="AB77" i="26" l="1"/>
  <c r="AP77" i="26"/>
  <c r="Z78" i="26"/>
  <c r="O78" i="26"/>
  <c r="P42" i="26"/>
  <c r="P43" i="26"/>
  <c r="P44" i="26" l="1"/>
  <c r="P45" i="26" l="1"/>
  <c r="P46" i="26" l="1"/>
  <c r="P47" i="26" l="1"/>
  <c r="P51" i="26"/>
  <c r="P50" i="26"/>
  <c r="P49" i="26"/>
  <c r="P53" i="26"/>
  <c r="P52" i="26"/>
  <c r="P48" i="26"/>
  <c r="P114" i="26" l="1"/>
  <c r="D29" i="26" s="1"/>
  <c r="L116" i="26" l="1"/>
  <c r="D23" i="26" l="1"/>
  <c r="C25" i="26" s="1"/>
  <c r="O42" i="26" s="1"/>
  <c r="O50" i="26" l="1"/>
  <c r="O68" i="26"/>
  <c r="O66" i="26"/>
  <c r="O69" i="26"/>
  <c r="O67" i="26"/>
  <c r="O51" i="26"/>
  <c r="O64" i="26"/>
  <c r="O63" i="26"/>
  <c r="O61" i="26"/>
  <c r="O62" i="26"/>
  <c r="O65" i="26"/>
  <c r="O52" i="26"/>
  <c r="O57" i="26"/>
  <c r="O58" i="26"/>
  <c r="O53" i="26"/>
  <c r="O54" i="26"/>
  <c r="O60" i="26"/>
  <c r="O56" i="26"/>
  <c r="O59" i="26"/>
  <c r="O55" i="26"/>
  <c r="C28" i="26"/>
  <c r="E17" i="26"/>
  <c r="O49" i="26"/>
  <c r="O44" i="26"/>
  <c r="O43" i="26"/>
  <c r="O45" i="26"/>
  <c r="O46" i="26"/>
  <c r="O47" i="26"/>
  <c r="O48" i="26"/>
  <c r="O114" i="26" l="1"/>
  <c r="C29" i="26" s="1"/>
  <c r="C31" i="26" l="1"/>
  <c r="C32" i="26"/>
  <c r="C34" i="26" s="1"/>
  <c r="C30" i="26"/>
  <c r="I53" i="26"/>
  <c r="I50" i="26" l="1"/>
  <c r="I67" i="26"/>
  <c r="I66" i="26"/>
  <c r="I69" i="26"/>
  <c r="I68" i="26"/>
  <c r="I64" i="26"/>
  <c r="I61" i="26"/>
  <c r="I65" i="26"/>
  <c r="I62" i="26"/>
  <c r="I63" i="26"/>
  <c r="I49" i="26"/>
  <c r="I51" i="26"/>
  <c r="I59" i="26"/>
  <c r="I60" i="26"/>
  <c r="I57" i="26"/>
  <c r="I58" i="26"/>
  <c r="I55" i="26"/>
  <c r="I56" i="26"/>
  <c r="I54" i="26"/>
  <c r="I52" i="26"/>
  <c r="I48" i="26"/>
  <c r="C33" i="26"/>
  <c r="C17" i="26" s="1"/>
  <c r="AA62" i="26" s="1"/>
  <c r="I42" i="26"/>
  <c r="Z63" i="26"/>
  <c r="Z68" i="26" l="1"/>
  <c r="AA53" i="26"/>
  <c r="AA68" i="26"/>
  <c r="AA69" i="26"/>
  <c r="Z64" i="26"/>
  <c r="AP64" i="26" s="1"/>
  <c r="Z62" i="26"/>
  <c r="AP62" i="26" s="1"/>
  <c r="AA65" i="26"/>
  <c r="AA64" i="26"/>
  <c r="AA63" i="26"/>
  <c r="AB63" i="26" s="1"/>
  <c r="AA8" i="26"/>
  <c r="AA52" i="26"/>
  <c r="AA50" i="26"/>
  <c r="AA48" i="26"/>
  <c r="AA51" i="26"/>
  <c r="AA49" i="26"/>
  <c r="AP63" i="26"/>
  <c r="AB64" i="26" l="1"/>
  <c r="AP67" i="26"/>
  <c r="AB68" i="26"/>
  <c r="AP68" i="26"/>
  <c r="AB62" i="26"/>
  <c r="Z42" i="26" l="1"/>
  <c r="G42" i="26"/>
  <c r="AP42" i="26" l="1"/>
  <c r="AA42" i="26"/>
  <c r="W42" i="26"/>
  <c r="D42" i="26"/>
  <c r="F43" i="26" s="1"/>
  <c r="V42" i="26" l="1"/>
  <c r="X43" i="26" s="1"/>
  <c r="AB42" i="26"/>
  <c r="E43" i="26"/>
  <c r="Y43" i="26" l="1"/>
  <c r="I43" i="26"/>
  <c r="G43" i="26" l="1"/>
  <c r="D43" i="26" s="1"/>
  <c r="F44" i="26" l="1"/>
  <c r="E44" i="26"/>
  <c r="I44" i="26" s="1"/>
  <c r="Z44" i="26"/>
  <c r="G44" i="26" l="1"/>
  <c r="D44" i="26" s="1"/>
  <c r="AA44" i="26"/>
  <c r="AP44" i="26"/>
  <c r="AB44" i="26" l="1"/>
  <c r="F45" i="26"/>
  <c r="E45" i="26"/>
  <c r="I45" i="26" s="1"/>
  <c r="G45" i="26" l="1"/>
  <c r="D45" i="26" s="1"/>
  <c r="F46" i="26" s="1"/>
  <c r="E46" i="26" l="1"/>
  <c r="I46" i="26" s="1"/>
  <c r="G46" i="26" s="1"/>
  <c r="D46" i="26" s="1"/>
  <c r="E47" i="26" s="1"/>
  <c r="I47" i="26" s="1"/>
  <c r="F47" i="26" l="1"/>
  <c r="G47" i="26" s="1"/>
  <c r="D47" i="26" s="1"/>
  <c r="F48" i="26" s="1"/>
  <c r="E48" i="26" l="1"/>
  <c r="G48" i="26" s="1"/>
  <c r="D48" i="26" s="1"/>
  <c r="E49" i="26" s="1"/>
  <c r="F49" i="26" l="1"/>
  <c r="G49" i="26" s="1"/>
  <c r="D49" i="26" s="1"/>
  <c r="F50" i="26" l="1"/>
  <c r="E50" i="26"/>
  <c r="G50" i="26" l="1"/>
  <c r="D50" i="26" l="1"/>
  <c r="F51" i="26" l="1"/>
  <c r="E51" i="26"/>
  <c r="G51" i="26" l="1"/>
  <c r="D51" i="26" l="1"/>
  <c r="F52" i="26" l="1"/>
  <c r="E52" i="26"/>
  <c r="G52" i="26" l="1"/>
  <c r="D52" i="26" l="1"/>
  <c r="F53" i="26" l="1"/>
  <c r="E53" i="26"/>
  <c r="G53" i="26" l="1"/>
  <c r="D53" i="26" s="1"/>
  <c r="F54" i="26" s="1"/>
  <c r="E54" i="26" l="1"/>
  <c r="G54" i="26" s="1"/>
  <c r="D54" i="26" l="1"/>
  <c r="F55" i="26" l="1"/>
  <c r="E55" i="26"/>
  <c r="G55" i="26" l="1"/>
  <c r="D55" i="26" s="1"/>
  <c r="F56" i="26" l="1"/>
  <c r="E56" i="26"/>
  <c r="G56" i="26" l="1"/>
  <c r="D56" i="26" s="1"/>
  <c r="F57" i="26" l="1"/>
  <c r="E57" i="26"/>
  <c r="G57" i="26" l="1"/>
  <c r="D57" i="26" s="1"/>
  <c r="F58" i="26" l="1"/>
  <c r="E58" i="26"/>
  <c r="G58" i="26" l="1"/>
  <c r="D58" i="26" s="1"/>
  <c r="F59" i="26" s="1"/>
  <c r="E59" i="26" l="1"/>
  <c r="G59" i="26" l="1"/>
  <c r="D59" i="26" l="1"/>
  <c r="F60" i="26" l="1"/>
  <c r="E60" i="26"/>
  <c r="G60" i="26" l="1"/>
  <c r="D60" i="26" l="1"/>
  <c r="F61" i="26" l="1"/>
  <c r="E61" i="26"/>
  <c r="G61" i="26" l="1"/>
  <c r="D61" i="26" l="1"/>
  <c r="AA56" i="26"/>
  <c r="F62" i="26" l="1"/>
  <c r="E62" i="26"/>
  <c r="G62" i="26" l="1"/>
  <c r="AA58" i="26"/>
  <c r="D62" i="26" l="1"/>
  <c r="AA59" i="26"/>
  <c r="AA60" i="26" s="1"/>
  <c r="AA61" i="26" s="1"/>
  <c r="F63" i="26" l="1"/>
  <c r="E63" i="26"/>
  <c r="G63" i="26" l="1"/>
  <c r="D63" i="26" l="1"/>
  <c r="F64" i="26" l="1"/>
  <c r="E64" i="26"/>
  <c r="G64" i="26" l="1"/>
  <c r="D64" i="26" l="1"/>
  <c r="Z55" i="26"/>
  <c r="F65" i="26" l="1"/>
  <c r="E65" i="26"/>
  <c r="AP55" i="26"/>
  <c r="G65" i="26" l="1"/>
  <c r="D65" i="26" l="1"/>
  <c r="F66" i="26" l="1"/>
  <c r="E66" i="26"/>
  <c r="G66" i="26" l="1"/>
  <c r="D66" i="26" s="1"/>
  <c r="E67" i="26" s="1"/>
  <c r="G67" i="26" s="1"/>
  <c r="D67" i="26" s="1"/>
  <c r="F67" i="26"/>
  <c r="Z58" i="26"/>
  <c r="F68" i="26" l="1"/>
  <c r="E68" i="26"/>
  <c r="G68" i="26" s="1"/>
  <c r="D68" i="26" s="1"/>
  <c r="AB58" i="26"/>
  <c r="AP58" i="26"/>
  <c r="F69" i="26" l="1"/>
  <c r="F114" i="26" s="1"/>
  <c r="E69" i="26"/>
  <c r="G69" i="26" s="1"/>
  <c r="D69" i="26" s="1"/>
  <c r="E70" i="26" l="1"/>
  <c r="E114" i="26" s="1"/>
  <c r="G70" i="26"/>
  <c r="G114" i="26" s="1"/>
  <c r="D118" i="26"/>
  <c r="Z61" i="26" l="1"/>
  <c r="Z59" i="26"/>
  <c r="AB59" i="26" s="1"/>
  <c r="AB61" i="26" l="1"/>
  <c r="AP61" i="26"/>
  <c r="Z60" i="26"/>
  <c r="AP59" i="26"/>
  <c r="AB60" i="26" l="1"/>
  <c r="AP60" i="26"/>
  <c r="Z52" i="26" l="1"/>
  <c r="AB52" i="26" l="1"/>
  <c r="AP52" i="26"/>
  <c r="AA70" i="26" l="1"/>
  <c r="AA57" i="26" l="1"/>
  <c r="Y67" i="26" l="1"/>
  <c r="Y68" i="26" l="1"/>
  <c r="X68" i="26"/>
  <c r="W68" i="26" s="1"/>
  <c r="V68" i="26" s="1"/>
  <c r="Y69" i="26" l="1"/>
  <c r="X69" i="26"/>
  <c r="W69" i="26" l="1"/>
  <c r="X70" i="26"/>
  <c r="V69" i="26" l="1"/>
  <c r="Z69" i="26"/>
  <c r="W70" i="26"/>
  <c r="V70" i="26" s="1"/>
  <c r="AB69" i="26" l="1"/>
  <c r="AP69" i="26"/>
  <c r="Z70" i="26"/>
  <c r="AB70" i="26" s="1"/>
  <c r="Z50" i="26" l="1"/>
  <c r="AB50" i="26" l="1"/>
  <c r="AP50" i="26"/>
  <c r="Z56" i="26" l="1"/>
  <c r="AB56" i="26" l="1"/>
  <c r="AP56" i="26"/>
  <c r="Z57" i="26"/>
  <c r="AB57" i="26" l="1"/>
  <c r="AP57" i="26"/>
  <c r="AP54" i="26" l="1"/>
  <c r="AA67" i="26" l="1"/>
  <c r="Y66" i="26" l="1"/>
  <c r="X67" i="26" l="1"/>
  <c r="W67" i="26" s="1"/>
  <c r="V67" i="26" s="1"/>
  <c r="V66" i="26" l="1"/>
  <c r="AP66" i="26" l="1"/>
  <c r="Z67" i="26"/>
  <c r="AB67" i="26" s="1"/>
  <c r="Y54" i="26" l="1"/>
  <c r="X55" i="26" l="1"/>
  <c r="Y55" i="26"/>
  <c r="W55" i="26" l="1"/>
  <c r="V55" i="26" s="1"/>
  <c r="X56" i="26" l="1"/>
  <c r="Y56" i="26"/>
  <c r="W56" i="26" s="1"/>
  <c r="V56" i="26" s="1"/>
  <c r="Y57" i="26" l="1"/>
  <c r="X57" i="26"/>
  <c r="W57" i="26" l="1"/>
  <c r="V57" i="26" s="1"/>
  <c r="Y58" i="26" l="1"/>
  <c r="X58" i="26"/>
  <c r="W58" i="26" s="1"/>
  <c r="V58" i="26" s="1"/>
  <c r="X59" i="26" l="1"/>
  <c r="Y59" i="26"/>
  <c r="W59" i="26" l="1"/>
  <c r="V59" i="26" s="1"/>
  <c r="Y60" i="26" l="1"/>
  <c r="X60" i="26"/>
  <c r="W60" i="26" s="1"/>
  <c r="V60" i="26" s="1"/>
  <c r="X61" i="26" l="1"/>
  <c r="Y61" i="26"/>
  <c r="W61" i="26" s="1"/>
  <c r="V61" i="26" s="1"/>
  <c r="Y62" i="26" l="1"/>
  <c r="X62" i="26"/>
  <c r="W62" i="26" s="1"/>
  <c r="V62" i="26" s="1"/>
  <c r="Y63" i="26" l="1"/>
  <c r="X63" i="26"/>
  <c r="W63" i="26" s="1"/>
  <c r="V63" i="26" s="1"/>
  <c r="Y64" i="26" l="1"/>
  <c r="X64" i="26"/>
  <c r="W64" i="26" s="1"/>
  <c r="V64" i="26" s="1"/>
  <c r="Y65" i="26" l="1"/>
  <c r="X65" i="26"/>
  <c r="W65" i="26" l="1"/>
  <c r="X66" i="26"/>
  <c r="V65" i="26" l="1"/>
  <c r="Z65" i="26"/>
  <c r="W66" i="26"/>
  <c r="AB65" i="26" l="1"/>
  <c r="AP65" i="26"/>
  <c r="Z66" i="26"/>
  <c r="Z48" i="26" l="1"/>
  <c r="AA66" i="26"/>
  <c r="AB66" i="26" s="1"/>
  <c r="AA78" i="26"/>
  <c r="AB78" i="26" s="1"/>
  <c r="AB48" i="26" l="1"/>
  <c r="AP48" i="26"/>
  <c r="Z47" i="26"/>
  <c r="AA47" i="26" l="1"/>
  <c r="AB47" i="26" s="1"/>
  <c r="AP47" i="26"/>
  <c r="Z51" i="26" l="1"/>
  <c r="AB51" i="26" l="1"/>
  <c r="AP51" i="26"/>
  <c r="Z43" i="26" l="1"/>
  <c r="AP43" i="26" l="1"/>
  <c r="AA43" i="26"/>
  <c r="W43" i="26"/>
  <c r="V43" i="26" s="1"/>
  <c r="X44" i="26" s="1"/>
  <c r="AB43" i="26" l="1"/>
  <c r="Y44" i="26"/>
  <c r="W44" i="26" s="1"/>
  <c r="V44" i="26" s="1"/>
  <c r="Y45" i="26" l="1"/>
  <c r="X45" i="26"/>
  <c r="AA54" i="26" l="1"/>
  <c r="AA55" i="26" s="1"/>
  <c r="AB55" i="26" s="1"/>
  <c r="Z46" i="26" l="1"/>
  <c r="AP46" i="26" l="1"/>
  <c r="AA46" i="26"/>
  <c r="AB46" i="26" s="1"/>
  <c r="Y50" i="26" l="1"/>
  <c r="Y51" i="26" l="1"/>
  <c r="Y52" i="26" l="1"/>
  <c r="Y53" i="26" l="1"/>
  <c r="X54" i="26" l="1"/>
  <c r="W54" i="26" s="1"/>
  <c r="V54" i="26" s="1"/>
  <c r="V53" i="26" l="1"/>
  <c r="Z53" i="26"/>
  <c r="AB53" i="26" l="1"/>
  <c r="AP53" i="26"/>
  <c r="Z54" i="26"/>
  <c r="AB54" i="26" s="1"/>
  <c r="Z45" i="26" l="1"/>
  <c r="W45" i="26" s="1"/>
  <c r="V45" i="26" s="1"/>
  <c r="AA45" i="26" l="1"/>
  <c r="AB45" i="26" s="1"/>
  <c r="Y46" i="26"/>
  <c r="X46" i="26"/>
  <c r="AP45" i="26"/>
  <c r="W46" i="26" l="1"/>
  <c r="V46" i="26" s="1"/>
  <c r="X47" i="26" l="1"/>
  <c r="Y47" i="26"/>
  <c r="W47" i="26" l="1"/>
  <c r="V47" i="26" s="1"/>
  <c r="X48" i="26" l="1"/>
  <c r="Y48" i="26"/>
  <c r="W48" i="26" l="1"/>
  <c r="V48" i="26" s="1"/>
  <c r="X49" i="26" l="1"/>
  <c r="Y49" i="26"/>
  <c r="W49" i="26"/>
  <c r="V49" i="26" l="1"/>
  <c r="X50" i="26" s="1"/>
  <c r="W50" i="26" s="1"/>
  <c r="V50" i="26" s="1"/>
  <c r="X51" i="26" s="1"/>
  <c r="W51" i="26" s="1"/>
  <c r="V51" i="26" s="1"/>
  <c r="X52" i="26" s="1"/>
  <c r="W52" i="26" s="1"/>
  <c r="V52" i="26" s="1"/>
  <c r="X53" i="26" s="1"/>
  <c r="W53" i="26" s="1"/>
  <c r="Z49" i="26"/>
  <c r="AB49" i="26" l="1"/>
  <c r="AP49" i="26"/>
  <c r="AP116" i="26" s="1"/>
  <c r="AP117" i="26" s="1"/>
  <c r="AP118" i="26" l="1"/>
  <c r="AP119" i="26" s="1"/>
  <c r="C26" i="26"/>
  <c r="AA5" i="2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Angela Carol Cleotilde Borja Delgado</author>
  </authors>
  <commentList>
    <comment ref="AJ11" authorId="0" shapeId="0" xr:uid="{95F33B81-8821-4318-AAA6-624212C6C221}">
      <text>
        <r>
          <rPr>
            <b/>
            <sz val="9"/>
            <color indexed="81"/>
            <rFont val="Tahoma"/>
            <family val="2"/>
          </rPr>
          <t>Anteriormente tenía esta fórmula:
=SI(Listas!AO5=Listas!AP3,REDONDEAR((1+AI11)^(1/12)-1,6),'Simulador '!AI11)</t>
        </r>
      </text>
    </comment>
    <comment ref="AJ12" authorId="0" shapeId="0" xr:uid="{E9B15D13-5DDD-43FF-8813-876EBA8C1260}">
      <text>
        <r>
          <rPr>
            <b/>
            <sz val="9"/>
            <color indexed="81"/>
            <rFont val="Tahoma"/>
            <family val="2"/>
          </rPr>
          <t>Anteriormente tenía esta fórmula:
=SI(Listas!AO5=Listas!AP3,REDONDEAR((1+AI11)^(1/12)-1,6),'Simulador '!AI11)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tc={7AE89BD3-E59C-493A-A019-578703AF03ED}</author>
    <author>tc={A319D9CA-26FA-4A39-84D1-9AE8666A860B}</author>
    <author>tc={A5360B4A-6B78-410F-9A41-A584E679B541}</author>
  </authors>
  <commentList>
    <comment ref="E8" authorId="0" shapeId="0" xr:uid="{7AE89BD3-E59C-493A-A019-578703AF03E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Actualización solicitada por Edith Cusihuaman</t>
      </text>
    </comment>
    <comment ref="E9" authorId="1" shapeId="0" xr:uid="{A319D9CA-26FA-4A39-84D1-9AE8666A860B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Reducción solicitada por E. Cusihuaman </t>
      </text>
    </comment>
    <comment ref="A13" authorId="2" shapeId="0" xr:uid="{A5360B4A-6B78-410F-9A41-A584E679B541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Construye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<sst xmlns="http://schemas.openxmlformats.org/spreadsheetml/2006/main" count="440" uniqueCount="194">
  <si>
    <t>Estado de Cuenta</t>
  </si>
  <si>
    <t>ITF</t>
  </si>
  <si>
    <t>Monto de Desembolso</t>
  </si>
  <si>
    <t>Cuotas</t>
  </si>
  <si>
    <t>TEA</t>
  </si>
  <si>
    <t>TEM</t>
  </si>
  <si>
    <t>TEM ( + SD)</t>
  </si>
  <si>
    <t>Tasa de SD</t>
  </si>
  <si>
    <t>Valor Futuro del Préstamo</t>
  </si>
  <si>
    <t>Cuota</t>
  </si>
  <si>
    <t>Fecha Real</t>
  </si>
  <si>
    <t>N° de Cuota</t>
  </si>
  <si>
    <t>Fecha Fija</t>
  </si>
  <si>
    <t>Saldo</t>
  </si>
  <si>
    <t>Interes</t>
  </si>
  <si>
    <t>Seguro Desgravamen</t>
  </si>
  <si>
    <t>Amortización</t>
  </si>
  <si>
    <t>Días Transcurridos</t>
  </si>
  <si>
    <t>n1</t>
  </si>
  <si>
    <t>Factor de actualización</t>
  </si>
  <si>
    <t>Meses de Seguro de Desgravamen</t>
  </si>
  <si>
    <t>TIR</t>
  </si>
  <si>
    <t>TIR ajustado</t>
  </si>
  <si>
    <t>TIR Mensual a 2 digitos</t>
  </si>
  <si>
    <t>Cuota con Integración</t>
  </si>
  <si>
    <t>Cuota Calculo Financiero</t>
  </si>
  <si>
    <t>Entero para ITF</t>
  </si>
  <si>
    <t>Redondeo para Cuota</t>
  </si>
  <si>
    <t>&gt;&gt;&gt; MIN</t>
  </si>
  <si>
    <t>1er paso, aproximación de cuotas iguales sin redondeo</t>
  </si>
  <si>
    <t>Calculo financieros para determinar cuota - No hace el sistema este proceso</t>
  </si>
  <si>
    <t>Aproximación de cuotas iguales - Sistema hace este proceso de integraciones precio a redondear cuota</t>
  </si>
  <si>
    <t>Monto de Desembolso Total</t>
  </si>
  <si>
    <t>Seguro financiado</t>
  </si>
  <si>
    <t>Ingresar datos</t>
  </si>
  <si>
    <t>ITF %</t>
  </si>
  <si>
    <t>ITF Costo</t>
  </si>
  <si>
    <t>TIR Anualizado (TCEA)</t>
  </si>
  <si>
    <t>TIR (TCEA)</t>
  </si>
  <si>
    <t>TEA a 6 decimales</t>
  </si>
  <si>
    <t>Producto</t>
  </si>
  <si>
    <t>Monto Otorgado</t>
  </si>
  <si>
    <t>Número de Cuotas</t>
  </si>
  <si>
    <t>Fecha de Desembolso</t>
  </si>
  <si>
    <t>Seguro de Desgravamen</t>
  </si>
  <si>
    <t>Feriados</t>
  </si>
  <si>
    <t>Año Nuevo</t>
  </si>
  <si>
    <t>Carnaval (Lunes)</t>
  </si>
  <si>
    <t>Jueves Santo</t>
  </si>
  <si>
    <t>Viernes Santo</t>
  </si>
  <si>
    <t>Día del Trabajo</t>
  </si>
  <si>
    <t>Ascensión</t>
  </si>
  <si>
    <t>San Pedro y San Pablo</t>
  </si>
  <si>
    <t>Independencia del Perú</t>
  </si>
  <si>
    <t>Día de las Fuerzas Armadas</t>
  </si>
  <si>
    <t>Santa Rosa de Lima</t>
  </si>
  <si>
    <t>Combate Naval de Angamos</t>
  </si>
  <si>
    <t>Día de Todos los Santos</t>
  </si>
  <si>
    <t>Día de la Inmaculada Concepción</t>
  </si>
  <si>
    <t>Navidad</t>
  </si>
  <si>
    <t>https://www.wincalendar.com/es/Calendario-2021-Feriados-Peru-Excel#google_vignette</t>
  </si>
  <si>
    <t>Si</t>
  </si>
  <si>
    <t>No</t>
  </si>
  <si>
    <t>Valor de Cuota</t>
  </si>
  <si>
    <t>Capital</t>
  </si>
  <si>
    <t>Interes Compensatorio</t>
  </si>
  <si>
    <t xml:space="preserve">Plan de Pagos </t>
  </si>
  <si>
    <t>1 Mes</t>
  </si>
  <si>
    <t>2 Meses</t>
  </si>
  <si>
    <t>3 Meses</t>
  </si>
  <si>
    <t>Dia de pago</t>
  </si>
  <si>
    <t>Tasa Seguro Desgravamen</t>
  </si>
  <si>
    <t>Prima Mínimo SD</t>
  </si>
  <si>
    <t>Rango de desembolso</t>
  </si>
  <si>
    <t>Tasa comercial mensual</t>
  </si>
  <si>
    <t>Hasta S/. 5,000</t>
  </si>
  <si>
    <t>De S/. 5,001 hasta S/. 20,000</t>
  </si>
  <si>
    <t>De S/ 20,001 hasta S/. 300,000</t>
  </si>
  <si>
    <t>INDIVIDUAL</t>
  </si>
  <si>
    <t>GRUPAL</t>
  </si>
  <si>
    <t>CCM</t>
  </si>
  <si>
    <t>EFECTIVO</t>
  </si>
  <si>
    <t>SUPERFACIL</t>
  </si>
  <si>
    <t>AGRO</t>
  </si>
  <si>
    <t>EMPRESARIO</t>
  </si>
  <si>
    <t>PYME</t>
  </si>
  <si>
    <t>COMPRA DE DEUDA</t>
  </si>
  <si>
    <t>SOLES</t>
  </si>
  <si>
    <t>DOLARES</t>
  </si>
  <si>
    <t>MENSUAL</t>
  </si>
  <si>
    <t>CADA 14 DIAS (CG)</t>
  </si>
  <si>
    <t>CADA 28 DIAS (CG)</t>
  </si>
  <si>
    <t>CON SEGURO</t>
  </si>
  <si>
    <t>SIN SEGURO</t>
  </si>
  <si>
    <t>ENDOSADO</t>
  </si>
  <si>
    <t>Nombre</t>
  </si>
  <si>
    <t>COD</t>
  </si>
  <si>
    <t>GRUPAL 14 DIAS</t>
  </si>
  <si>
    <t>GRUPAL 28 DIAS</t>
  </si>
  <si>
    <t>28 Primer Pago</t>
  </si>
  <si>
    <t>14 Primer Pago</t>
  </si>
  <si>
    <t xml:space="preserve"> </t>
  </si>
  <si>
    <t>Grupal</t>
  </si>
  <si>
    <t>TCEA (Tasa de Costo Efectiva Anual)</t>
  </si>
  <si>
    <t>TEA (Tasa Efectiva Anual - Fija)</t>
  </si>
  <si>
    <t>TEM (Tasa Efectiva Mensual)</t>
  </si>
  <si>
    <t>CRECE Y MEJORA</t>
  </si>
  <si>
    <t>Periodo de Gracia</t>
  </si>
  <si>
    <t>Monto mínimo</t>
  </si>
  <si>
    <t>Monto máximo</t>
  </si>
  <si>
    <t>Plazo mínimo (meses)</t>
  </si>
  <si>
    <t>Plazo máximo (meses)</t>
  </si>
  <si>
    <t>Tasa mínima soles</t>
  </si>
  <si>
    <t>Tasa máxima soles</t>
  </si>
  <si>
    <t>Tasa mínima dólares</t>
  </si>
  <si>
    <t>Tasa máxima dólares</t>
  </si>
  <si>
    <t>No aplica</t>
  </si>
  <si>
    <t>Capital de Trabajo: 18 meses.
Activo Fijo:
A sola firma: 36 meses.
Con garantía real: Hasta 72 meses.</t>
  </si>
  <si>
    <t>A sola firma: hasta 48 meses
Con garantía real: hasta 72 meses</t>
  </si>
  <si>
    <t>6 cuotas campaña chica / 8 cuotas campaña grande</t>
  </si>
  <si>
    <t>PRODUCTO</t>
  </si>
  <si>
    <t>LINEA</t>
  </si>
  <si>
    <t>ACTIVO FIJO</t>
  </si>
  <si>
    <t>VIVIENDA</t>
  </si>
  <si>
    <t>RANGO GRACIA</t>
  </si>
  <si>
    <t>PRIMERA CUOTA 59 DIAS</t>
  </si>
  <si>
    <t>Aplica</t>
  </si>
  <si>
    <t>periodo Libre</t>
  </si>
  <si>
    <t>(día/mes/año)</t>
  </si>
  <si>
    <t>Se agrega el periodo como gracia</t>
  </si>
  <si>
    <t>Dias adicionales</t>
  </si>
  <si>
    <t>Rango Periodo de Gracia</t>
  </si>
  <si>
    <t>Frecuencia</t>
  </si>
  <si>
    <t>Rango de N° de Cuotas</t>
  </si>
  <si>
    <t>Min</t>
  </si>
  <si>
    <t>Max</t>
  </si>
  <si>
    <t>Rango de Tasas</t>
  </si>
  <si>
    <t>Rango de Monto</t>
  </si>
  <si>
    <t xml:space="preserve">Tasa comercial </t>
  </si>
  <si>
    <t>Rango</t>
  </si>
  <si>
    <t>Digite la Tasa</t>
  </si>
  <si>
    <t>TIPO DE TASA</t>
  </si>
  <si>
    <t>TEA (Tasa Efectiva Anual)</t>
  </si>
  <si>
    <t>Claves y Llaves</t>
  </si>
  <si>
    <t>Monto</t>
  </si>
  <si>
    <t>Alerta:</t>
  </si>
  <si>
    <t>RESULTADOS DE SIMULACIÓN</t>
  </si>
  <si>
    <t>Fecha:</t>
  </si>
  <si>
    <t>Soles</t>
  </si>
  <si>
    <t>Dolares</t>
  </si>
  <si>
    <t>Fecha</t>
  </si>
  <si>
    <t>Pago Total</t>
  </si>
  <si>
    <t>Monto mínimo USD</t>
  </si>
  <si>
    <t>Monto máximo USD</t>
  </si>
  <si>
    <t>&gt;    	La información contenida en esta simulación es referencial, por lo que está sujeta a variaciones. Asimismo, no representa compromiso u obligación de alguna naturaleza a cargo de Compartamos Financiera. Los términos y condiciones definitivos del crédito tales como, monto, plazo, tasa de interés, entre otras consideraciones importantes, se pondrán en conocimiento del cliente de manera previa a la oportunidad de contratación del producto. 
&gt;   	Las condiciones contenidas en esta simulación tienen una vigencia de un día .  La presente simulación incluye el seguro desgravamen de Compartamos Financiera, sin embargo, ud. tiene la opción de endosar sus pólizas a favor de la financiera hasta por el monto del saldo adeudado previa evaluación de Compartamos Financiera. La simulación para la determinación de la cuota no incluye ITF (Impuesto a las Transacciones Financieras). Consulte nuestro Tarifario al momento de realizar la simulación.
&gt;    	El período de gracia se contabiliza desde la fecha de desembolso del préstamo hasta la fecha de vencimiento de la primera cuota. 
&gt;    	Si desea imprimir la presente simulación, presione la tecla Ctrl + la letra P</t>
  </si>
  <si>
    <t>Tasa Con Devolución</t>
  </si>
  <si>
    <t>CON DEVOLUCIÓN</t>
  </si>
  <si>
    <t>SD</t>
  </si>
  <si>
    <t>FILTRO SEGURO DESGRAVAMEN</t>
  </si>
  <si>
    <t>CORRECTO</t>
  </si>
  <si>
    <t>CREDITO GRUPAL</t>
  </si>
  <si>
    <t>LOCAL COMERCIAL</t>
  </si>
  <si>
    <t>Moneda ↓</t>
  </si>
  <si>
    <t>LINEA NEGOCIO ↓</t>
  </si>
  <si>
    <t>Producto ↓</t>
  </si>
  <si>
    <t>Tipo de Tasa ↓</t>
  </si>
  <si>
    <t>Seguro de Desgravamen ↓</t>
  </si>
  <si>
    <t>Periodicidad de Pago↓</t>
  </si>
  <si>
    <t>Periodo de Gracia↓</t>
  </si>
  <si>
    <t>Filtros</t>
  </si>
  <si>
    <t>FILTROS</t>
  </si>
  <si>
    <t>Días Transcurridos / Segurps</t>
  </si>
  <si>
    <t>dia2</t>
  </si>
  <si>
    <t>Microempresa: S/50,000</t>
  </si>
  <si>
    <t>Pequeña Empresa:</t>
  </si>
  <si>
    <t>Capital de Trabajo: S/220,000</t>
  </si>
  <si>
    <t>Activo Fijo: S/280,000</t>
  </si>
  <si>
    <r>
      <t>Microempresa: S/</t>
    </r>
    <r>
      <rPr>
        <sz val="10"/>
        <color rgb="FF000000"/>
        <rFont val="Calibri Light"/>
        <family val="2"/>
      </rPr>
      <t>50,000</t>
    </r>
  </si>
  <si>
    <t>36 a sola firma /
72 con garantía real</t>
  </si>
  <si>
    <t>Capital de Trabajo: Hasta 18 meses.
*Score A 24 meses de S/50,000 hasta S/120,000
Activo Fijo:
A sola firma: 36 meses.
Con garantía real: Hasta 72 meses</t>
  </si>
  <si>
    <t>Dependientes Formales y Microempresa: 36
Pequeña empresa:
Sin garantía Hipotecaria 48 meses
Con Garantía Real: 72 meses</t>
  </si>
  <si>
    <t>IMPULSA PERU</t>
  </si>
  <si>
    <t>PRODUCTO ESPECIAL</t>
  </si>
  <si>
    <t>Primeros 6 meses periodo de gracia parcial</t>
  </si>
  <si>
    <t>Alerta</t>
  </si>
  <si>
    <t xml:space="preserve">Periodo de Gracia </t>
  </si>
  <si>
    <t>Días Transcurridos Intereses</t>
  </si>
  <si>
    <t>CASH</t>
  </si>
  <si>
    <t>VUELVE</t>
  </si>
  <si>
    <t>LÍNEA DE CRÉDITO</t>
  </si>
  <si>
    <t>LÍNEA DE CRÉDITO CREDITIENDA</t>
  </si>
  <si>
    <t>Antes:</t>
  </si>
  <si>
    <t>u</t>
  </si>
  <si>
    <t xml:space="preserve">  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</si>
</sst>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43" formatCode="_-* #,##0.00_-;\-* #,##0.00_-;_-* &quot;-&quot;??_-;_-@_-"/>
    <numFmt numFmtId="164" formatCode="_-* #,##0.0000_-;\-* #,##0.0000_-;_-* &quot;-&quot;??_-;_-@_-"/>
    <numFmt numFmtId="165" formatCode="_-* #,##0_-;\-* #,##0_-;_-* &quot;-&quot;??_-;_-@_-"/>
    <numFmt numFmtId="166" formatCode="0.0%"/>
    <numFmt numFmtId="167" formatCode="_-* #,##0.000_-;\-* #,##0.000_-;_-* &quot;-&quot;??_-;_-@_-"/>
    <numFmt numFmtId="168" formatCode="0.000%"/>
    <numFmt numFmtId="169" formatCode="0.000000%"/>
    <numFmt numFmtId="170" formatCode="0.000"/>
    <numFmt numFmtId="171" formatCode="[$-280A]d\ mmm;@"/>
    <numFmt numFmtId="172" formatCode="0.0000%"/>
    <numFmt numFmtId="173" formatCode="#"/>
    <numFmt numFmtId="174" formatCode="dd\-mmm\-yyyy"/>
    <numFmt numFmtId="175" formatCode="_-* #,##0.0_-;\-* #,##0.0_-;_-* &quot;-&quot;??_-;_-@_-"/>
    <numFmt numFmtId="176" formatCode="0.0000000%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color rgb="FF666666"/>
      <name val="Arial Narrow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0"/>
      <name val="Arial Narrow"/>
      <family val="2"/>
    </font>
    <font>
      <sz val="11"/>
      <color theme="1"/>
      <name val="Arial Narrow"/>
      <family val="2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FFFFFF"/>
      <name val="Amor Sans Pro"/>
      <family val="3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4"/>
      <name val="Calibri"/>
      <family val="2"/>
      <scheme val="minor"/>
    </font>
    <font>
      <b/>
      <sz val="10"/>
      <color theme="1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8"/>
      <name val="Calibri"/>
      <family val="2"/>
      <scheme val="minor"/>
    </font>
    <font>
      <b/>
      <sz val="12"/>
      <color rgb="FF83786F"/>
      <name val="Amor Sans Pro"/>
      <family val="3"/>
    </font>
    <font>
      <b/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color rgb="FF83786F"/>
      <name val="Calibri"/>
      <family val="2"/>
      <scheme val="minor"/>
    </font>
    <font>
      <sz val="11"/>
      <color rgb="FF83786F"/>
      <name val="Calibri"/>
      <family val="2"/>
      <scheme val="minor"/>
    </font>
    <font>
      <b/>
      <sz val="11"/>
      <color rgb="FFCA005D"/>
      <name val="Calibri"/>
      <family val="2"/>
      <scheme val="minor"/>
    </font>
    <font>
      <b/>
      <sz val="20"/>
      <color rgb="FFCA005D"/>
      <name val="Calibri"/>
      <family val="2"/>
      <scheme val="minor"/>
    </font>
    <font>
      <b/>
      <sz val="12"/>
      <color rgb="FF83786F"/>
      <name val="Calibri"/>
      <family val="2"/>
      <scheme val="minor"/>
    </font>
    <font>
      <sz val="8"/>
      <color rgb="FF83786F"/>
      <name val="Calibri"/>
      <family val="2"/>
      <scheme val="minor"/>
    </font>
    <font>
      <sz val="14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000000"/>
      <name val="Calibri Light"/>
      <family val="2"/>
    </font>
    <font>
      <sz val="10"/>
      <color theme="1"/>
      <name val="Calibri Light"/>
      <family val="2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9"/>
      <color indexed="81"/>
      <name val="Tahoma"/>
      <family val="2"/>
    </font>
    <font>
      <b/>
      <sz val="10"/>
      <color theme="0"/>
      <name val="Calibri Light"/>
      <family val="2"/>
      <scheme val="major"/>
    </font>
  </fonts>
  <fills count="2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1004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3786F"/>
        <bgColor indexed="64"/>
      </patternFill>
    </fill>
    <fill>
      <patternFill patternType="solid">
        <fgColor rgb="FFCA005D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49998474074526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rgb="FF83786F"/>
      </left>
      <right style="thin">
        <color rgb="FF83786F"/>
      </right>
      <top style="thin">
        <color rgb="FF83786F"/>
      </top>
      <bottom style="thin">
        <color rgb="FF83786F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rgb="FF83786F"/>
      </right>
      <top style="thin">
        <color rgb="FF83786F"/>
      </top>
      <bottom style="thin">
        <color rgb="FF83786F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83786F"/>
      </left>
      <right/>
      <top style="thin">
        <color rgb="FF83786F"/>
      </top>
      <bottom style="thin">
        <color rgb="FF83786F"/>
      </bottom>
      <diagonal/>
    </border>
    <border>
      <left/>
      <right style="thin">
        <color rgb="FF83786F"/>
      </right>
      <top style="thin">
        <color rgb="FF83786F"/>
      </top>
      <bottom/>
      <diagonal/>
    </border>
    <border>
      <left style="thin">
        <color rgb="FF83786F"/>
      </left>
      <right style="thin">
        <color rgb="FF83786F"/>
      </right>
      <top style="thin">
        <color rgb="FF83786F"/>
      </top>
      <bottom/>
      <diagonal/>
    </border>
    <border>
      <left style="medium">
        <color indexed="64"/>
      </left>
      <right style="thin">
        <color rgb="FF83786F"/>
      </right>
      <top style="medium">
        <color indexed="64"/>
      </top>
      <bottom style="medium">
        <color indexed="64"/>
      </bottom>
      <diagonal/>
    </border>
    <border>
      <left style="thin">
        <color rgb="FF83786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 style="thin">
        <color rgb="FF83786F"/>
      </bottom>
      <diagonal/>
    </border>
    <border>
      <left/>
      <right style="thin">
        <color rgb="FF83786F"/>
      </right>
      <top style="medium">
        <color indexed="64"/>
      </top>
      <bottom style="thin">
        <color rgb="FF83786F"/>
      </bottom>
      <diagonal/>
    </border>
    <border>
      <left style="thin">
        <color theme="0"/>
      </left>
      <right/>
      <top style="thin">
        <color rgb="FF83786F"/>
      </top>
      <bottom style="thin">
        <color rgb="FF83786F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212">
    <xf numFmtId="0" fontId="0" fillId="0" borderId="0" xfId="0"/>
    <xf numFmtId="0" fontId="0" fillId="0" borderId="1" xfId="0" applyBorder="1"/>
    <xf numFmtId="0" fontId="5" fillId="0" borderId="0" xfId="3"/>
    <xf numFmtId="0" fontId="0" fillId="10" borderId="0" xfId="0" applyFill="1" applyProtection="1">
      <protection hidden="1"/>
    </xf>
    <xf numFmtId="43" fontId="0" fillId="0" borderId="1" xfId="1" applyFont="1" applyBorder="1" applyProtection="1">
      <protection hidden="1"/>
    </xf>
    <xf numFmtId="0" fontId="0" fillId="0" borderId="1" xfId="0" applyBorder="1" applyProtection="1">
      <protection hidden="1"/>
    </xf>
    <xf numFmtId="43" fontId="0" fillId="0" borderId="1" xfId="0" applyNumberFormat="1" applyBorder="1" applyProtection="1">
      <protection hidden="1"/>
    </xf>
    <xf numFmtId="0" fontId="0" fillId="0" borderId="5" xfId="0" applyBorder="1"/>
    <xf numFmtId="171" fontId="0" fillId="0" borderId="1" xfId="0" applyNumberFormat="1" applyBorder="1" applyAlignment="1">
      <alignment horizontal="left"/>
    </xf>
    <xf numFmtId="0" fontId="6" fillId="0" borderId="1" xfId="3" applyFont="1" applyBorder="1" applyAlignment="1">
      <alignment shrinkToFit="1"/>
    </xf>
    <xf numFmtId="0" fontId="7" fillId="0" borderId="1" xfId="0" applyFont="1" applyBorder="1" applyAlignment="1">
      <alignment shrinkToFit="1"/>
    </xf>
    <xf numFmtId="0" fontId="0" fillId="2" borderId="0" xfId="0" applyFill="1"/>
    <xf numFmtId="0" fontId="0" fillId="13" borderId="0" xfId="0" applyFill="1"/>
    <xf numFmtId="0" fontId="0" fillId="2" borderId="6" xfId="0" applyFill="1" applyBorder="1"/>
    <xf numFmtId="0" fontId="0" fillId="0" borderId="6" xfId="0" applyBorder="1"/>
    <xf numFmtId="0" fontId="8" fillId="2" borderId="6" xfId="0" applyFont="1" applyFill="1" applyBorder="1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0" borderId="6" xfId="0" applyBorder="1" applyAlignment="1">
      <alignment wrapText="1"/>
    </xf>
    <xf numFmtId="0" fontId="0" fillId="8" borderId="6" xfId="0" applyFill="1" applyBorder="1" applyAlignment="1">
      <alignment wrapText="1"/>
    </xf>
    <xf numFmtId="0" fontId="0" fillId="2" borderId="6" xfId="0" applyFill="1" applyBorder="1" applyAlignment="1">
      <alignment wrapText="1"/>
    </xf>
    <xf numFmtId="2" fontId="0" fillId="0" borderId="6" xfId="0" applyNumberFormat="1" applyBorder="1" applyAlignment="1">
      <alignment wrapText="1"/>
    </xf>
    <xf numFmtId="2" fontId="0" fillId="8" borderId="6" xfId="0" applyNumberFormat="1" applyFill="1" applyBorder="1" applyAlignment="1">
      <alignment wrapText="1"/>
    </xf>
    <xf numFmtId="165" fontId="0" fillId="0" borderId="6" xfId="1" quotePrefix="1" applyNumberFormat="1" applyFont="1" applyBorder="1" applyAlignment="1">
      <alignment wrapText="1"/>
    </xf>
    <xf numFmtId="165" fontId="0" fillId="0" borderId="6" xfId="1" applyNumberFormat="1" applyFont="1" applyBorder="1" applyAlignment="1">
      <alignment wrapText="1"/>
    </xf>
    <xf numFmtId="0" fontId="16" fillId="2" borderId="6" xfId="0" applyFont="1" applyFill="1" applyBorder="1" applyAlignment="1">
      <alignment horizontal="center" vertical="center" wrapText="1"/>
    </xf>
    <xf numFmtId="3" fontId="17" fillId="0" borderId="6" xfId="0" applyNumberFormat="1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10" fontId="17" fillId="0" borderId="6" xfId="0" applyNumberFormat="1" applyFont="1" applyBorder="1" applyAlignment="1">
      <alignment horizontal="center" vertical="center" wrapText="1"/>
    </xf>
    <xf numFmtId="0" fontId="17" fillId="10" borderId="6" xfId="0" applyFont="1" applyFill="1" applyBorder="1" applyAlignment="1">
      <alignment horizontal="center" vertical="center" wrapText="1"/>
    </xf>
    <xf numFmtId="0" fontId="17" fillId="0" borderId="6" xfId="0" applyFont="1" applyBorder="1" applyAlignment="1">
      <alignment vertical="center" wrapText="1"/>
    </xf>
    <xf numFmtId="43" fontId="0" fillId="0" borderId="6" xfId="1" quotePrefix="1" applyFont="1" applyBorder="1" applyAlignment="1">
      <alignment wrapText="1"/>
    </xf>
    <xf numFmtId="0" fontId="0" fillId="0" borderId="8" xfId="0" applyBorder="1"/>
    <xf numFmtId="173" fontId="0" fillId="0" borderId="6" xfId="0" applyNumberFormat="1" applyBorder="1" applyAlignment="1">
      <alignment horizontal="right"/>
    </xf>
    <xf numFmtId="3" fontId="17" fillId="0" borderId="6" xfId="0" applyNumberFormat="1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10" fontId="17" fillId="0" borderId="6" xfId="0" applyNumberFormat="1" applyFont="1" applyBorder="1" applyAlignment="1">
      <alignment horizontal="center" vertical="center"/>
    </xf>
    <xf numFmtId="0" fontId="17" fillId="10" borderId="6" xfId="0" applyFont="1" applyFill="1" applyBorder="1" applyAlignment="1">
      <alignment horizontal="center" vertical="center"/>
    </xf>
    <xf numFmtId="165" fontId="0" fillId="0" borderId="6" xfId="1" applyNumberFormat="1" applyFont="1" applyBorder="1"/>
    <xf numFmtId="10" fontId="0" fillId="0" borderId="6" xfId="2" applyNumberFormat="1" applyFont="1" applyBorder="1"/>
    <xf numFmtId="0" fontId="0" fillId="0" borderId="0" xfId="0" applyProtection="1">
      <protection hidden="1"/>
    </xf>
    <xf numFmtId="0" fontId="0" fillId="0" borderId="6" xfId="0" applyBorder="1" applyProtection="1">
      <protection hidden="1"/>
    </xf>
    <xf numFmtId="165" fontId="0" fillId="0" borderId="6" xfId="1" applyNumberFormat="1" applyFont="1" applyBorder="1" applyProtection="1">
      <protection hidden="1"/>
    </xf>
    <xf numFmtId="0" fontId="4" fillId="15" borderId="6" xfId="0" applyFont="1" applyFill="1" applyBorder="1" applyAlignment="1" applyProtection="1">
      <alignment horizontal="center" vertical="center"/>
      <protection hidden="1"/>
    </xf>
    <xf numFmtId="0" fontId="0" fillId="2" borderId="1" xfId="0" applyFill="1" applyBorder="1" applyProtection="1">
      <protection hidden="1"/>
    </xf>
    <xf numFmtId="10" fontId="0" fillId="0" borderId="0" xfId="2" applyNumberFormat="1" applyFont="1" applyProtection="1">
      <protection hidden="1"/>
    </xf>
    <xf numFmtId="10" fontId="0" fillId="0" borderId="0" xfId="0" applyNumberFormat="1" applyProtection="1">
      <protection hidden="1"/>
    </xf>
    <xf numFmtId="168" fontId="0" fillId="2" borderId="1" xfId="0" applyNumberFormat="1" applyFill="1" applyBorder="1" applyProtection="1">
      <protection hidden="1"/>
    </xf>
    <xf numFmtId="43" fontId="0" fillId="0" borderId="0" xfId="0" applyNumberFormat="1" applyProtection="1">
      <protection hidden="1"/>
    </xf>
    <xf numFmtId="4" fontId="0" fillId="2" borderId="1" xfId="0" applyNumberFormat="1" applyFill="1" applyBorder="1" applyProtection="1">
      <protection hidden="1"/>
    </xf>
    <xf numFmtId="168" fontId="0" fillId="0" borderId="0" xfId="2" applyNumberFormat="1" applyFont="1" applyProtection="1">
      <protection hidden="1"/>
    </xf>
    <xf numFmtId="4" fontId="0" fillId="0" borderId="1" xfId="0" applyNumberFormat="1" applyBorder="1" applyProtection="1">
      <protection hidden="1"/>
    </xf>
    <xf numFmtId="10" fontId="0" fillId="2" borderId="1" xfId="0" applyNumberFormat="1" applyFill="1" applyBorder="1" applyProtection="1">
      <protection hidden="1"/>
    </xf>
    <xf numFmtId="0" fontId="11" fillId="11" borderId="0" xfId="0" applyFont="1" applyFill="1" applyAlignment="1" applyProtection="1">
      <alignment horizontal="center" vertical="center" wrapText="1"/>
      <protection hidden="1"/>
    </xf>
    <xf numFmtId="0" fontId="19" fillId="0" borderId="6" xfId="0" applyFont="1" applyBorder="1" applyAlignment="1" applyProtection="1">
      <alignment vertical="center" wrapText="1"/>
      <protection hidden="1"/>
    </xf>
    <xf numFmtId="0" fontId="14" fillId="0" borderId="7" xfId="0" applyFont="1" applyBorder="1" applyProtection="1">
      <protection hidden="1"/>
    </xf>
    <xf numFmtId="10" fontId="19" fillId="0" borderId="6" xfId="0" applyNumberFormat="1" applyFont="1" applyBorder="1" applyAlignment="1" applyProtection="1">
      <alignment horizontal="center" vertical="center"/>
      <protection hidden="1"/>
    </xf>
    <xf numFmtId="10" fontId="0" fillId="0" borderId="1" xfId="2" applyNumberFormat="1" applyFont="1" applyBorder="1" applyProtection="1">
      <protection hidden="1"/>
    </xf>
    <xf numFmtId="169" fontId="0" fillId="0" borderId="1" xfId="0" applyNumberFormat="1" applyBorder="1" applyProtection="1">
      <protection hidden="1"/>
    </xf>
    <xf numFmtId="0" fontId="0" fillId="0" borderId="2" xfId="0" applyBorder="1" applyProtection="1">
      <protection hidden="1"/>
    </xf>
    <xf numFmtId="0" fontId="14" fillId="0" borderId="6" xfId="0" applyFont="1" applyBorder="1" applyProtection="1">
      <protection hidden="1"/>
    </xf>
    <xf numFmtId="0" fontId="2" fillId="7" borderId="1" xfId="0" applyFont="1" applyFill="1" applyBorder="1" applyProtection="1">
      <protection hidden="1"/>
    </xf>
    <xf numFmtId="43" fontId="0" fillId="7" borderId="1" xfId="1" applyFont="1" applyFill="1" applyBorder="1" applyProtection="1">
      <protection hidden="1"/>
    </xf>
    <xf numFmtId="10" fontId="14" fillId="0" borderId="7" xfId="0" applyNumberFormat="1" applyFont="1" applyBorder="1" applyProtection="1">
      <protection hidden="1"/>
    </xf>
    <xf numFmtId="0" fontId="2" fillId="7" borderId="2" xfId="0" applyFont="1" applyFill="1" applyBorder="1" applyProtection="1">
      <protection hidden="1"/>
    </xf>
    <xf numFmtId="43" fontId="0" fillId="7" borderId="3" xfId="1" applyFont="1" applyFill="1" applyBorder="1" applyProtection="1">
      <protection hidden="1"/>
    </xf>
    <xf numFmtId="0" fontId="2" fillId="4" borderId="1" xfId="0" applyFont="1" applyFill="1" applyBorder="1" applyProtection="1">
      <protection hidden="1"/>
    </xf>
    <xf numFmtId="43" fontId="0" fillId="4" borderId="1" xfId="1" applyFont="1" applyFill="1" applyBorder="1" applyProtection="1">
      <protection hidden="1"/>
    </xf>
    <xf numFmtId="0" fontId="0" fillId="7" borderId="1" xfId="0" applyFill="1" applyBorder="1" applyProtection="1">
      <protection hidden="1"/>
    </xf>
    <xf numFmtId="43" fontId="0" fillId="0" borderId="0" xfId="1" applyFont="1" applyBorder="1" applyProtection="1">
      <protection hidden="1"/>
    </xf>
    <xf numFmtId="0" fontId="2" fillId="6" borderId="1" xfId="0" applyFont="1" applyFill="1" applyBorder="1" applyProtection="1">
      <protection hidden="1"/>
    </xf>
    <xf numFmtId="14" fontId="0" fillId="2" borderId="1" xfId="0" applyNumberFormat="1" applyFill="1" applyBorder="1" applyProtection="1">
      <protection hidden="1"/>
    </xf>
    <xf numFmtId="170" fontId="0" fillId="0" borderId="0" xfId="0" applyNumberFormat="1" applyProtection="1">
      <protection hidden="1"/>
    </xf>
    <xf numFmtId="0" fontId="0" fillId="3" borderId="1" xfId="0" applyFill="1" applyBorder="1" applyAlignment="1" applyProtection="1">
      <alignment horizontal="center" vertical="center"/>
      <protection hidden="1"/>
    </xf>
    <xf numFmtId="0" fontId="0" fillId="3" borderId="1" xfId="0" applyFill="1" applyBorder="1" applyAlignment="1" applyProtection="1">
      <alignment horizontal="center" vertical="center" wrapText="1"/>
      <protection hidden="1"/>
    </xf>
    <xf numFmtId="0" fontId="0" fillId="7" borderId="1" xfId="0" applyFill="1" applyBorder="1" applyAlignment="1" applyProtection="1">
      <alignment horizontal="center" vertical="center" wrapText="1"/>
      <protection hidden="1"/>
    </xf>
    <xf numFmtId="0" fontId="0" fillId="5" borderId="1" xfId="0" applyFill="1" applyBorder="1" applyAlignment="1" applyProtection="1">
      <alignment horizontal="center" vertical="center" wrapText="1"/>
      <protection hidden="1"/>
    </xf>
    <xf numFmtId="14" fontId="0" fillId="0" borderId="1" xfId="0" applyNumberFormat="1" applyBorder="1" applyProtection="1">
      <protection hidden="1"/>
    </xf>
    <xf numFmtId="4" fontId="3" fillId="9" borderId="0" xfId="0" applyNumberFormat="1" applyFont="1" applyFill="1" applyAlignment="1" applyProtection="1">
      <alignment horizontal="right" vertical="center" wrapText="1"/>
      <protection hidden="1"/>
    </xf>
    <xf numFmtId="0" fontId="3" fillId="9" borderId="0" xfId="0" applyFont="1" applyFill="1" applyAlignment="1" applyProtection="1">
      <alignment horizontal="right" vertical="center" wrapText="1"/>
      <protection hidden="1"/>
    </xf>
    <xf numFmtId="14" fontId="0" fillId="2" borderId="1" xfId="0" quotePrefix="1" applyNumberFormat="1" applyFill="1" applyBorder="1" applyProtection="1">
      <protection hidden="1"/>
    </xf>
    <xf numFmtId="164" fontId="0" fillId="0" borderId="1" xfId="1" applyNumberFormat="1" applyFont="1" applyBorder="1" applyProtection="1">
      <protection hidden="1"/>
    </xf>
    <xf numFmtId="165" fontId="0" fillId="0" borderId="1" xfId="1" applyNumberFormat="1" applyFont="1" applyBorder="1" applyProtection="1">
      <protection hidden="1"/>
    </xf>
    <xf numFmtId="15" fontId="3" fillId="9" borderId="0" xfId="0" applyNumberFormat="1" applyFont="1" applyFill="1" applyAlignment="1" applyProtection="1">
      <alignment vertical="center" wrapText="1"/>
      <protection hidden="1"/>
    </xf>
    <xf numFmtId="0" fontId="3" fillId="9" borderId="4" xfId="0" applyFont="1" applyFill="1" applyBorder="1" applyAlignment="1" applyProtection="1">
      <alignment horizontal="right" vertical="center" wrapText="1"/>
      <protection hidden="1"/>
    </xf>
    <xf numFmtId="0" fontId="0" fillId="9" borderId="0" xfId="0" applyFill="1" applyProtection="1">
      <protection hidden="1"/>
    </xf>
    <xf numFmtId="4" fontId="0" fillId="0" borderId="0" xfId="0" applyNumberFormat="1" applyProtection="1">
      <protection hidden="1"/>
    </xf>
    <xf numFmtId="43" fontId="2" fillId="3" borderId="1" xfId="0" applyNumberFormat="1" applyFont="1" applyFill="1" applyBorder="1" applyProtection="1">
      <protection hidden="1"/>
    </xf>
    <xf numFmtId="164" fontId="0" fillId="0" borderId="1" xfId="0" applyNumberFormat="1" applyBorder="1" applyProtection="1">
      <protection hidden="1"/>
    </xf>
    <xf numFmtId="166" fontId="0" fillId="0" borderId="1" xfId="2" applyNumberFormat="1" applyFont="1" applyFill="1" applyBorder="1" applyProtection="1">
      <protection hidden="1"/>
    </xf>
    <xf numFmtId="167" fontId="0" fillId="4" borderId="1" xfId="1" applyNumberFormat="1" applyFont="1" applyFill="1" applyBorder="1" applyProtection="1">
      <protection hidden="1"/>
    </xf>
    <xf numFmtId="168" fontId="19" fillId="0" borderId="7" xfId="0" applyNumberFormat="1" applyFont="1" applyBorder="1" applyProtection="1">
      <protection hidden="1"/>
    </xf>
    <xf numFmtId="173" fontId="0" fillId="0" borderId="6" xfId="0" applyNumberFormat="1" applyBorder="1"/>
    <xf numFmtId="165" fontId="0" fillId="0" borderId="0" xfId="1" applyNumberFormat="1" applyFont="1"/>
    <xf numFmtId="0" fontId="0" fillId="16" borderId="0" xfId="0" applyFill="1" applyProtection="1">
      <protection hidden="1"/>
    </xf>
    <xf numFmtId="0" fontId="15" fillId="16" borderId="0" xfId="0" applyFont="1" applyFill="1" applyAlignment="1" applyProtection="1">
      <alignment vertical="center"/>
      <protection hidden="1"/>
    </xf>
    <xf numFmtId="15" fontId="20" fillId="16" borderId="0" xfId="0" applyNumberFormat="1" applyFont="1" applyFill="1" applyAlignment="1" applyProtection="1">
      <alignment vertical="center"/>
      <protection hidden="1"/>
    </xf>
    <xf numFmtId="0" fontId="0" fillId="16" borderId="0" xfId="0" applyFill="1" applyProtection="1">
      <protection locked="0"/>
    </xf>
    <xf numFmtId="10" fontId="0" fillId="16" borderId="0" xfId="0" applyNumberFormat="1" applyFill="1" applyProtection="1">
      <protection hidden="1"/>
    </xf>
    <xf numFmtId="0" fontId="21" fillId="16" borderId="0" xfId="0" applyFont="1" applyFill="1" applyProtection="1">
      <protection hidden="1"/>
    </xf>
    <xf numFmtId="172" fontId="23" fillId="16" borderId="10" xfId="2" applyNumberFormat="1" applyFont="1" applyFill="1" applyBorder="1" applyProtection="1">
      <protection hidden="1"/>
    </xf>
    <xf numFmtId="172" fontId="23" fillId="16" borderId="10" xfId="0" applyNumberFormat="1" applyFont="1" applyFill="1" applyBorder="1" applyAlignment="1" applyProtection="1">
      <alignment horizontal="right"/>
      <protection hidden="1"/>
    </xf>
    <xf numFmtId="43" fontId="23" fillId="16" borderId="10" xfId="1" applyFont="1" applyFill="1" applyBorder="1" applyProtection="1">
      <protection hidden="1"/>
    </xf>
    <xf numFmtId="165" fontId="23" fillId="16" borderId="10" xfId="1" applyNumberFormat="1" applyFont="1" applyFill="1" applyBorder="1" applyProtection="1">
      <protection hidden="1"/>
    </xf>
    <xf numFmtId="0" fontId="25" fillId="16" borderId="0" xfId="0" applyFont="1" applyFill="1" applyProtection="1">
      <protection hidden="1"/>
    </xf>
    <xf numFmtId="15" fontId="27" fillId="16" borderId="0" xfId="0" applyNumberFormat="1" applyFont="1" applyFill="1" applyAlignment="1" applyProtection="1">
      <alignment horizontal="right" vertical="center"/>
      <protection hidden="1"/>
    </xf>
    <xf numFmtId="15" fontId="27" fillId="16" borderId="0" xfId="0" applyNumberFormat="1" applyFont="1" applyFill="1" applyAlignment="1" applyProtection="1">
      <alignment vertical="center"/>
      <protection hidden="1"/>
    </xf>
    <xf numFmtId="0" fontId="12" fillId="18" borderId="14" xfId="0" applyFont="1" applyFill="1" applyBorder="1" applyAlignment="1" applyProtection="1">
      <alignment horizontal="center" vertical="center" wrapText="1"/>
      <protection hidden="1"/>
    </xf>
    <xf numFmtId="0" fontId="28" fillId="16" borderId="0" xfId="0" applyFont="1" applyFill="1" applyProtection="1">
      <protection locked="0"/>
    </xf>
    <xf numFmtId="0" fontId="13" fillId="16" borderId="0" xfId="0" applyFont="1" applyFill="1" applyProtection="1">
      <protection hidden="1"/>
    </xf>
    <xf numFmtId="0" fontId="2" fillId="0" borderId="0" xfId="0" applyFont="1" applyProtection="1">
      <protection locked="0"/>
    </xf>
    <xf numFmtId="173" fontId="0" fillId="2" borderId="6" xfId="0" quotePrefix="1" applyNumberFormat="1" applyFill="1" applyBorder="1"/>
    <xf numFmtId="10" fontId="0" fillId="0" borderId="6" xfId="0" applyNumberFormat="1" applyBorder="1" applyProtection="1">
      <protection hidden="1"/>
    </xf>
    <xf numFmtId="0" fontId="0" fillId="0" borderId="0" xfId="0" quotePrefix="1" applyProtection="1">
      <protection hidden="1"/>
    </xf>
    <xf numFmtId="0" fontId="13" fillId="19" borderId="0" xfId="0" applyFont="1" applyFill="1"/>
    <xf numFmtId="0" fontId="29" fillId="19" borderId="0" xfId="0" applyFont="1" applyFill="1"/>
    <xf numFmtId="0" fontId="30" fillId="19" borderId="0" xfId="0" applyFont="1" applyFill="1"/>
    <xf numFmtId="0" fontId="0" fillId="20" borderId="0" xfId="0" applyFill="1"/>
    <xf numFmtId="0" fontId="2" fillId="20" borderId="0" xfId="0" applyFont="1" applyFill="1"/>
    <xf numFmtId="0" fontId="31" fillId="20" borderId="0" xfId="0" applyFont="1" applyFill="1"/>
    <xf numFmtId="10" fontId="2" fillId="20" borderId="0" xfId="0" applyNumberFormat="1" applyFont="1" applyFill="1"/>
    <xf numFmtId="0" fontId="32" fillId="21" borderId="0" xfId="0" applyFont="1" applyFill="1" applyAlignment="1" applyProtection="1">
      <alignment vertical="center"/>
      <protection hidden="1"/>
    </xf>
    <xf numFmtId="0" fontId="0" fillId="14" borderId="0" xfId="0" applyFill="1"/>
    <xf numFmtId="0" fontId="13" fillId="14" borderId="0" xfId="0" applyFont="1" applyFill="1"/>
    <xf numFmtId="175" fontId="0" fillId="0" borderId="0" xfId="1" applyNumberFormat="1" applyFont="1" applyProtection="1">
      <protection hidden="1"/>
    </xf>
    <xf numFmtId="43" fontId="0" fillId="0" borderId="0" xfId="1" applyFont="1" applyProtection="1">
      <protection hidden="1"/>
    </xf>
    <xf numFmtId="165" fontId="0" fillId="0" borderId="1" xfId="0" applyNumberFormat="1" applyBorder="1" applyProtection="1">
      <protection hidden="1"/>
    </xf>
    <xf numFmtId="2" fontId="0" fillId="0" borderId="0" xfId="0" applyNumberFormat="1" applyProtection="1">
      <protection hidden="1"/>
    </xf>
    <xf numFmtId="168" fontId="0" fillId="2" borderId="1" xfId="2" applyNumberFormat="1" applyFont="1" applyFill="1" applyBorder="1" applyProtection="1">
      <protection hidden="1"/>
    </xf>
    <xf numFmtId="0" fontId="0" fillId="2" borderId="0" xfId="0" applyFill="1" applyProtection="1">
      <protection hidden="1"/>
    </xf>
    <xf numFmtId="43" fontId="0" fillId="2" borderId="0" xfId="1" applyFont="1" applyFill="1" applyProtection="1">
      <protection hidden="1"/>
    </xf>
    <xf numFmtId="173" fontId="34" fillId="2" borderId="6" xfId="0" quotePrefix="1" applyNumberFormat="1" applyFont="1" applyFill="1" applyBorder="1"/>
    <xf numFmtId="3" fontId="35" fillId="0" borderId="23" xfId="0" applyNumberFormat="1" applyFont="1" applyBorder="1" applyAlignment="1">
      <alignment horizontal="center" vertical="center" wrapText="1"/>
    </xf>
    <xf numFmtId="0" fontId="35" fillId="0" borderId="24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  <xf numFmtId="0" fontId="36" fillId="0" borderId="23" xfId="0" applyFont="1" applyBorder="1" applyAlignment="1">
      <alignment horizontal="center" vertical="center" wrapText="1"/>
    </xf>
    <xf numFmtId="10" fontId="36" fillId="0" borderId="0" xfId="0" applyNumberFormat="1" applyFont="1"/>
    <xf numFmtId="0" fontId="34" fillId="16" borderId="0" xfId="0" applyFont="1" applyFill="1" applyProtection="1">
      <protection hidden="1"/>
    </xf>
    <xf numFmtId="174" fontId="0" fillId="16" borderId="0" xfId="0" applyNumberFormat="1" applyFill="1" applyProtection="1">
      <protection hidden="1"/>
    </xf>
    <xf numFmtId="174" fontId="2" fillId="0" borderId="0" xfId="0" applyNumberFormat="1" applyFont="1" applyProtection="1">
      <protection locked="0"/>
    </xf>
    <xf numFmtId="0" fontId="13" fillId="16" borderId="0" xfId="0" applyFont="1" applyFill="1" applyAlignment="1" applyProtection="1">
      <alignment horizontal="center" vertical="center"/>
      <protection hidden="1"/>
    </xf>
    <xf numFmtId="43" fontId="13" fillId="16" borderId="0" xfId="0" applyNumberFormat="1" applyFont="1" applyFill="1" applyAlignment="1" applyProtection="1">
      <alignment vertical="center"/>
      <protection hidden="1"/>
    </xf>
    <xf numFmtId="43" fontId="13" fillId="16" borderId="0" xfId="1" applyFont="1" applyFill="1" applyBorder="1" applyAlignment="1" applyProtection="1">
      <alignment vertical="center"/>
      <protection hidden="1"/>
    </xf>
    <xf numFmtId="0" fontId="37" fillId="0" borderId="25" xfId="0" applyFont="1" applyBorder="1" applyAlignment="1" applyProtection="1">
      <alignment horizontal="center" vertical="center"/>
      <protection hidden="1"/>
    </xf>
    <xf numFmtId="43" fontId="37" fillId="0" borderId="25" xfId="1" applyFont="1" applyBorder="1" applyAlignment="1" applyProtection="1">
      <alignment vertical="center"/>
      <protection hidden="1"/>
    </xf>
    <xf numFmtId="0" fontId="37" fillId="0" borderId="25" xfId="0" applyFont="1" applyBorder="1" applyAlignment="1" applyProtection="1">
      <alignment vertical="center"/>
      <protection hidden="1"/>
    </xf>
    <xf numFmtId="43" fontId="37" fillId="0" borderId="25" xfId="0" applyNumberFormat="1" applyFont="1" applyBorder="1" applyAlignment="1" applyProtection="1">
      <alignment vertical="center"/>
      <protection hidden="1"/>
    </xf>
    <xf numFmtId="0" fontId="37" fillId="16" borderId="25" xfId="0" applyFont="1" applyFill="1" applyBorder="1" applyAlignment="1" applyProtection="1">
      <alignment horizontal="center" vertical="center"/>
      <protection hidden="1"/>
    </xf>
    <xf numFmtId="43" fontId="37" fillId="16" borderId="25" xfId="0" applyNumberFormat="1" applyFont="1" applyFill="1" applyBorder="1" applyAlignment="1" applyProtection="1">
      <alignment vertical="center"/>
      <protection hidden="1"/>
    </xf>
    <xf numFmtId="43" fontId="37" fillId="16" borderId="25" xfId="1" applyFont="1" applyFill="1" applyBorder="1" applyAlignment="1" applyProtection="1">
      <alignment vertical="center"/>
      <protection hidden="1"/>
    </xf>
    <xf numFmtId="0" fontId="38" fillId="16" borderId="0" xfId="0" applyFont="1" applyFill="1" applyProtection="1">
      <protection hidden="1"/>
    </xf>
    <xf numFmtId="0" fontId="13" fillId="8" borderId="1" xfId="0" applyFont="1" applyFill="1" applyBorder="1" applyProtection="1">
      <protection hidden="1"/>
    </xf>
    <xf numFmtId="164" fontId="0" fillId="8" borderId="1" xfId="1" applyNumberFormat="1" applyFont="1" applyFill="1" applyBorder="1" applyProtection="1">
      <protection hidden="1"/>
    </xf>
    <xf numFmtId="43" fontId="13" fillId="8" borderId="1" xfId="0" applyNumberFormat="1" applyFont="1" applyFill="1" applyBorder="1" applyProtection="1">
      <protection hidden="1"/>
    </xf>
    <xf numFmtId="169" fontId="0" fillId="0" borderId="0" xfId="2" applyNumberFormat="1" applyFont="1" applyProtection="1">
      <protection hidden="1"/>
    </xf>
    <xf numFmtId="166" fontId="0" fillId="0" borderId="0" xfId="2" applyNumberFormat="1" applyFont="1"/>
    <xf numFmtId="0" fontId="17" fillId="13" borderId="6" xfId="0" applyFont="1" applyFill="1" applyBorder="1" applyAlignment="1">
      <alignment vertical="center" wrapText="1"/>
    </xf>
    <xf numFmtId="0" fontId="0" fillId="13" borderId="6" xfId="0" applyFill="1" applyBorder="1"/>
    <xf numFmtId="0" fontId="0" fillId="13" borderId="26" xfId="0" applyFill="1" applyBorder="1"/>
    <xf numFmtId="168" fontId="23" fillId="16" borderId="10" xfId="0" quotePrefix="1" applyNumberFormat="1" applyFont="1" applyFill="1" applyBorder="1" applyProtection="1">
      <protection hidden="1"/>
    </xf>
    <xf numFmtId="15" fontId="27" fillId="16" borderId="0" xfId="0" applyNumberFormat="1" applyFont="1" applyFill="1" applyAlignment="1" applyProtection="1">
      <alignment horizontal="center" vertical="center"/>
      <protection hidden="1"/>
    </xf>
    <xf numFmtId="172" fontId="0" fillId="0" borderId="1" xfId="0" applyNumberFormat="1" applyBorder="1" applyProtection="1">
      <protection hidden="1"/>
    </xf>
    <xf numFmtId="176" fontId="0" fillId="0" borderId="1" xfId="2" applyNumberFormat="1" applyFont="1" applyBorder="1" applyProtection="1">
      <protection hidden="1"/>
    </xf>
    <xf numFmtId="10" fontId="16" fillId="23" borderId="6" xfId="0" applyNumberFormat="1" applyFont="1" applyFill="1" applyBorder="1" applyAlignment="1">
      <alignment horizontal="center" vertical="center" wrapText="1"/>
    </xf>
    <xf numFmtId="10" fontId="16" fillId="23" borderId="6" xfId="0" applyNumberFormat="1" applyFont="1" applyFill="1" applyBorder="1" applyAlignment="1">
      <alignment horizontal="center" vertical="center"/>
    </xf>
    <xf numFmtId="0" fontId="0" fillId="0" borderId="26" xfId="0" applyBorder="1"/>
    <xf numFmtId="172" fontId="0" fillId="0" borderId="6" xfId="2" applyNumberFormat="1" applyFont="1" applyBorder="1" applyProtection="1">
      <protection hidden="1"/>
    </xf>
    <xf numFmtId="172" fontId="4" fillId="15" borderId="6" xfId="2" applyNumberFormat="1" applyFont="1" applyFill="1" applyBorder="1" applyAlignment="1" applyProtection="1">
      <alignment horizontal="center" vertical="center"/>
      <protection hidden="1"/>
    </xf>
    <xf numFmtId="172" fontId="17" fillId="0" borderId="6" xfId="0" applyNumberFormat="1" applyFont="1" applyBorder="1" applyAlignment="1">
      <alignment horizontal="center" vertical="center"/>
    </xf>
    <xf numFmtId="172" fontId="16" fillId="23" borderId="6" xfId="0" applyNumberFormat="1" applyFont="1" applyFill="1" applyBorder="1" applyAlignment="1">
      <alignment horizontal="center" vertical="center"/>
    </xf>
    <xf numFmtId="172" fontId="0" fillId="0" borderId="0" xfId="0" applyNumberFormat="1"/>
    <xf numFmtId="172" fontId="16" fillId="23" borderId="6" xfId="0" applyNumberFormat="1" applyFont="1" applyFill="1" applyBorder="1" applyAlignment="1">
      <alignment horizontal="center" vertical="center" wrapText="1"/>
    </xf>
    <xf numFmtId="172" fontId="17" fillId="0" borderId="6" xfId="0" applyNumberFormat="1" applyFont="1" applyBorder="1" applyAlignment="1">
      <alignment horizontal="center" vertical="center" wrapText="1"/>
    </xf>
    <xf numFmtId="0" fontId="40" fillId="18" borderId="27" xfId="0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 wrapText="1"/>
    </xf>
    <xf numFmtId="0" fontId="0" fillId="24" borderId="0" xfId="0" applyFill="1" applyProtection="1">
      <protection hidden="1"/>
    </xf>
    <xf numFmtId="0" fontId="0" fillId="25" borderId="0" xfId="0" applyFill="1" applyProtection="1">
      <protection hidden="1"/>
    </xf>
    <xf numFmtId="14" fontId="0" fillId="0" borderId="0" xfId="0" applyNumberFormat="1" applyProtection="1">
      <protection hidden="1"/>
    </xf>
    <xf numFmtId="0" fontId="12" fillId="16" borderId="0" xfId="0" applyFont="1" applyFill="1" applyProtection="1">
      <protection hidden="1"/>
    </xf>
    <xf numFmtId="174" fontId="13" fillId="16" borderId="0" xfId="0" applyNumberFormat="1" applyFont="1" applyFill="1" applyAlignment="1" applyProtection="1">
      <alignment horizontal="center" vertical="center"/>
      <protection hidden="1"/>
    </xf>
    <xf numFmtId="0" fontId="12" fillId="14" borderId="7" xfId="0" applyFont="1" applyFill="1" applyBorder="1" applyAlignment="1" applyProtection="1">
      <alignment horizontal="center" vertical="center"/>
      <protection hidden="1"/>
    </xf>
    <xf numFmtId="0" fontId="12" fillId="14" borderId="9" xfId="0" applyFont="1" applyFill="1" applyBorder="1" applyAlignment="1" applyProtection="1">
      <alignment horizontal="center" vertical="center"/>
      <protection hidden="1"/>
    </xf>
    <xf numFmtId="0" fontId="12" fillId="18" borderId="14" xfId="0" applyFont="1" applyFill="1" applyBorder="1" applyAlignment="1" applyProtection="1">
      <alignment horizontal="center" vertical="center" wrapText="1"/>
      <protection hidden="1"/>
    </xf>
    <xf numFmtId="0" fontId="10" fillId="18" borderId="11" xfId="0" applyFont="1" applyFill="1" applyBorder="1" applyAlignment="1" applyProtection="1">
      <alignment horizontal="left"/>
      <protection hidden="1"/>
    </xf>
    <xf numFmtId="0" fontId="10" fillId="18" borderId="11" xfId="0" applyFont="1" applyFill="1" applyBorder="1" applyProtection="1">
      <protection hidden="1"/>
    </xf>
    <xf numFmtId="174" fontId="37" fillId="0" borderId="25" xfId="0" applyNumberFormat="1" applyFont="1" applyBorder="1" applyAlignment="1" applyProtection="1">
      <alignment horizontal="center" vertical="center"/>
      <protection hidden="1"/>
    </xf>
    <xf numFmtId="0" fontId="9" fillId="12" borderId="0" xfId="0" applyFont="1" applyFill="1" applyAlignment="1" applyProtection="1">
      <alignment horizontal="center"/>
      <protection hidden="1"/>
    </xf>
    <xf numFmtId="10" fontId="23" fillId="16" borderId="12" xfId="2" applyNumberFormat="1" applyFont="1" applyFill="1" applyBorder="1" applyAlignment="1" applyProtection="1">
      <alignment horizontal="center" vertical="center"/>
      <protection locked="0"/>
    </xf>
    <xf numFmtId="10" fontId="23" fillId="16" borderId="10" xfId="2" applyNumberFormat="1" applyFont="1" applyFill="1" applyBorder="1" applyAlignment="1" applyProtection="1">
      <alignment horizontal="center" vertical="center"/>
      <protection locked="0"/>
    </xf>
    <xf numFmtId="0" fontId="33" fillId="22" borderId="15" xfId="0" applyFont="1" applyFill="1" applyBorder="1" applyAlignment="1" applyProtection="1">
      <alignment horizontal="center"/>
      <protection locked="0"/>
    </xf>
    <xf numFmtId="0" fontId="33" fillId="22" borderId="12" xfId="0" applyFont="1" applyFill="1" applyBorder="1" applyAlignment="1" applyProtection="1">
      <alignment horizontal="center"/>
      <protection locked="0"/>
    </xf>
    <xf numFmtId="0" fontId="24" fillId="16" borderId="0" xfId="0" applyFont="1" applyFill="1" applyAlignment="1" applyProtection="1">
      <alignment vertical="justify" wrapText="1" readingOrder="1"/>
      <protection hidden="1"/>
    </xf>
    <xf numFmtId="174" fontId="37" fillId="16" borderId="25" xfId="0" applyNumberFormat="1" applyFont="1" applyFill="1" applyBorder="1" applyAlignment="1" applyProtection="1">
      <alignment horizontal="center" vertical="center"/>
      <protection hidden="1"/>
    </xf>
    <xf numFmtId="0" fontId="22" fillId="17" borderId="11" xfId="0" applyFont="1" applyFill="1" applyBorder="1" applyAlignment="1" applyProtection="1">
      <alignment horizontal="center" vertical="center"/>
      <protection hidden="1"/>
    </xf>
    <xf numFmtId="0" fontId="26" fillId="16" borderId="0" xfId="0" applyFont="1" applyFill="1" applyAlignment="1" applyProtection="1">
      <alignment horizontal="left"/>
      <protection hidden="1"/>
    </xf>
    <xf numFmtId="0" fontId="10" fillId="18" borderId="13" xfId="0" applyFont="1" applyFill="1" applyBorder="1" applyProtection="1">
      <protection hidden="1"/>
    </xf>
    <xf numFmtId="0" fontId="33" fillId="22" borderId="20" xfId="0" applyFont="1" applyFill="1" applyBorder="1" applyAlignment="1" applyProtection="1">
      <alignment horizontal="center"/>
      <protection locked="0"/>
    </xf>
    <xf numFmtId="0" fontId="33" fillId="22" borderId="21" xfId="0" applyFont="1" applyFill="1" applyBorder="1" applyAlignment="1" applyProtection="1">
      <alignment horizontal="center"/>
      <protection locked="0"/>
    </xf>
    <xf numFmtId="0" fontId="33" fillId="22" borderId="22" xfId="0" applyFont="1" applyFill="1" applyBorder="1" applyAlignment="1" applyProtection="1">
      <alignment horizontal="center"/>
      <protection locked="0"/>
    </xf>
    <xf numFmtId="0" fontId="33" fillId="22" borderId="12" xfId="0" applyFont="1" applyFill="1" applyBorder="1" applyAlignment="1" applyProtection="1">
      <alignment horizontal="left"/>
      <protection locked="0"/>
    </xf>
    <xf numFmtId="0" fontId="33" fillId="22" borderId="10" xfId="0" applyFont="1" applyFill="1" applyBorder="1" applyAlignment="1" applyProtection="1">
      <alignment horizontal="left"/>
      <protection locked="0"/>
    </xf>
    <xf numFmtId="0" fontId="33" fillId="22" borderId="16" xfId="0" applyFont="1" applyFill="1" applyBorder="1" applyAlignment="1" applyProtection="1">
      <alignment horizontal="left"/>
      <protection locked="0"/>
    </xf>
    <xf numFmtId="0" fontId="33" fillId="22" borderId="17" xfId="0" applyFont="1" applyFill="1" applyBorder="1" applyAlignment="1" applyProtection="1">
      <alignment horizontal="left"/>
      <protection locked="0"/>
    </xf>
    <xf numFmtId="37" fontId="23" fillId="16" borderId="18" xfId="1" applyNumberFormat="1" applyFont="1" applyFill="1" applyBorder="1" applyAlignment="1" applyProtection="1">
      <alignment horizontal="center" vertical="center"/>
      <protection locked="0"/>
    </xf>
    <xf numFmtId="37" fontId="23" fillId="16" borderId="19" xfId="1" applyNumberFormat="1" applyFont="1" applyFill="1" applyBorder="1" applyAlignment="1" applyProtection="1">
      <alignment horizontal="center" vertical="center"/>
      <protection locked="0"/>
    </xf>
    <xf numFmtId="0" fontId="23" fillId="16" borderId="18" xfId="0" applyFont="1" applyFill="1" applyBorder="1" applyAlignment="1" applyProtection="1">
      <alignment horizontal="center" vertical="center"/>
      <protection locked="0"/>
    </xf>
    <xf numFmtId="0" fontId="23" fillId="16" borderId="19" xfId="0" applyFont="1" applyFill="1" applyBorder="1" applyAlignment="1" applyProtection="1">
      <alignment horizontal="center" vertical="center"/>
      <protection locked="0"/>
    </xf>
    <xf numFmtId="14" fontId="23" fillId="16" borderId="18" xfId="0" applyNumberFormat="1" applyFont="1" applyFill="1" applyBorder="1" applyAlignment="1" applyProtection="1">
      <alignment horizontal="center" vertical="center"/>
      <protection locked="0"/>
    </xf>
    <xf numFmtId="14" fontId="23" fillId="16" borderId="19" xfId="0" applyNumberFormat="1" applyFont="1" applyFill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0" fillId="0" borderId="6" xfId="0" applyBorder="1" applyAlignment="1">
      <alignment horizontal="center" wrapText="1"/>
    </xf>
  </cellXfs>
  <cellStyles count="4">
    <cellStyle name="Hipervínculo" xfId="3" builtinId="8"/>
    <cellStyle name="Millares" xfId="1" builtinId="3"/>
    <cellStyle name="Normal" xfId="0" builtinId="0"/>
    <cellStyle name="Porcentaje" xfId="2" builtinId="5"/>
  </cellStyles>
  <dxfs count="3">
    <dxf>
      <font>
        <color theme="0"/>
      </font>
    </dxf>
    <dxf>
      <font>
        <color theme="0" tint="-0.499984740745262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1" defaultTableStyle="TableStyleMedium2" defaultPivotStyle="PivotStyleLight16">
    <tableStyle name="Invisible" pivot="0" table="0" count="0" xr9:uid="{03E8F5E8-0D43-4BE6-81B1-13459DF0BB27}"/>
  </tableStyles>
  <colors>
    <mruColors>
      <color rgb="FFCA005D"/>
      <color rgb="FF8378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411</xdr:colOff>
      <xdr:row>4</xdr:row>
      <xdr:rowOff>8196</xdr:rowOff>
    </xdr:from>
    <xdr:to>
      <xdr:col>21</xdr:col>
      <xdr:colOff>520392</xdr:colOff>
      <xdr:row>5</xdr:row>
      <xdr:rowOff>3304</xdr:rowOff>
    </xdr:to>
    <xdr:sp macro="" textlink="AM2">
      <xdr:nvSpPr>
        <xdr:cNvPr id="2" name="CuadroTexto 1">
          <a:extLst>
            <a:ext uri="{FF2B5EF4-FFF2-40B4-BE49-F238E27FC236}">
              <a16:creationId xmlns:a16="http://schemas.microsoft.com/office/drawing/2014/main" id="{A20BB0E4-DEA3-54D9-FB31-48EC03C5E41E}"/>
            </a:ext>
          </a:extLst>
        </xdr:cNvPr>
        <xdr:cNvSpPr txBox="1"/>
      </xdr:nvSpPr>
      <xdr:spPr>
        <a:xfrm>
          <a:off x="2872565" y="2360138"/>
          <a:ext cx="1260000" cy="214916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fld id="{E85D5AF4-ED97-41BD-AA7E-E6C4FE82F16B}" type="TxLink">
            <a:rPr lang="en-US" sz="1000" b="1" i="0" u="none" strike="noStrike">
              <a:solidFill>
                <a:sysClr val="windowText" lastClr="000000"/>
              </a:solidFill>
              <a:latin typeface="Calibri"/>
              <a:ea typeface="+mn-ea"/>
              <a:cs typeface="Calibri"/>
            </a:rPr>
            <a:pPr marL="0" indent="0" algn="l"/>
            <a:t>EFECTIVO</a:t>
          </a:fld>
          <a:endParaRPr lang="en-US" sz="1000" b="1" i="0" u="none" strike="noStrike">
            <a:solidFill>
              <a:sysClr val="windowText" lastClr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18</xdr:col>
      <xdr:colOff>9071</xdr:colOff>
      <xdr:row>0</xdr:row>
      <xdr:rowOff>1507662</xdr:rowOff>
    </xdr:from>
    <xdr:to>
      <xdr:col>22</xdr:col>
      <xdr:colOff>498929</xdr:colOff>
      <xdr:row>2</xdr:row>
      <xdr:rowOff>28011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9071" y="1507662"/>
          <a:ext cx="4597759" cy="43318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E" sz="2400" b="1">
              <a:solidFill>
                <a:srgbClr val="CA005D"/>
              </a:solidFill>
            </a:rPr>
            <a:t>Simulador de Créditos</a:t>
          </a:r>
        </a:p>
      </xdr:txBody>
    </xdr:sp>
    <xdr:clientData/>
  </xdr:twoCellAnchor>
  <xdr:twoCellAnchor>
    <xdr:from>
      <xdr:col>19</xdr:col>
      <xdr:colOff>1213133</xdr:colOff>
      <xdr:row>8</xdr:row>
      <xdr:rowOff>7882</xdr:rowOff>
    </xdr:from>
    <xdr:to>
      <xdr:col>21</xdr:col>
      <xdr:colOff>516845</xdr:colOff>
      <xdr:row>9</xdr:row>
      <xdr:rowOff>3902</xdr:rowOff>
    </xdr:to>
    <xdr:sp macro="" textlink="AN2">
      <xdr:nvSpPr>
        <xdr:cNvPr id="3" name="CuadroTexto 2">
          <a:extLst>
            <a:ext uri="{FF2B5EF4-FFF2-40B4-BE49-F238E27FC236}">
              <a16:creationId xmlns:a16="http://schemas.microsoft.com/office/drawing/2014/main" id="{AD96441E-67BE-4A0C-9F21-4C485A32F9D8}"/>
            </a:ext>
          </a:extLst>
        </xdr:cNvPr>
        <xdr:cNvSpPr txBox="1"/>
      </xdr:nvSpPr>
      <xdr:spPr>
        <a:xfrm>
          <a:off x="2869018" y="3326978"/>
          <a:ext cx="1260000" cy="215828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fld id="{DC5AA4CA-3BEE-4638-B260-02A5D71FD088}" type="TxLink">
            <a:rPr lang="en-US" sz="1000" b="1" i="0" u="none" strike="noStrike">
              <a:solidFill>
                <a:sysClr val="windowText" lastClr="000000"/>
              </a:solidFill>
              <a:latin typeface="Calibri"/>
              <a:cs typeface="Calibri"/>
            </a:rPr>
            <a:pPr algn="l"/>
            <a:t>2</a:t>
          </a:fld>
          <a:endParaRPr lang="en-US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20</xdr:col>
      <xdr:colOff>4872</xdr:colOff>
      <xdr:row>12</xdr:row>
      <xdr:rowOff>6200</xdr:rowOff>
    </xdr:from>
    <xdr:to>
      <xdr:col>21</xdr:col>
      <xdr:colOff>524853</xdr:colOff>
      <xdr:row>13</xdr:row>
      <xdr:rowOff>1966</xdr:rowOff>
    </xdr:to>
    <xdr:sp macro="" textlink="AO2">
      <xdr:nvSpPr>
        <xdr:cNvPr id="4" name="CuadroTexto 3">
          <a:extLst>
            <a:ext uri="{FF2B5EF4-FFF2-40B4-BE49-F238E27FC236}">
              <a16:creationId xmlns:a16="http://schemas.microsoft.com/office/drawing/2014/main" id="{2F7C5DBC-AFD3-487F-8E94-B536183C1DFF}"/>
            </a:ext>
          </a:extLst>
        </xdr:cNvPr>
        <xdr:cNvSpPr txBox="1"/>
      </xdr:nvSpPr>
      <xdr:spPr>
        <a:xfrm>
          <a:off x="2877026" y="4233835"/>
          <a:ext cx="1260000" cy="215573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fld id="{58AB4334-A58B-4940-8E56-C23F4059B806}" type="TxLink">
            <a:rPr lang="en-US" sz="1000" b="1" i="0" u="none" strike="noStrike">
              <a:solidFill>
                <a:sysClr val="windowText" lastClr="000000"/>
              </a:solidFill>
              <a:latin typeface="Calibri"/>
              <a:cs typeface="Calibri"/>
            </a:rPr>
            <a:pPr algn="l"/>
            <a:t>MENSUAL</a:t>
          </a:fld>
          <a:endParaRPr lang="en-US" sz="10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20</xdr:col>
      <xdr:colOff>6726</xdr:colOff>
      <xdr:row>13</xdr:row>
      <xdr:rowOff>6466</xdr:rowOff>
    </xdr:from>
    <xdr:to>
      <xdr:col>21</xdr:col>
      <xdr:colOff>526707</xdr:colOff>
      <xdr:row>13</xdr:row>
      <xdr:rowOff>214602</xdr:rowOff>
    </xdr:to>
    <xdr:sp macro="" textlink="AP2">
      <xdr:nvSpPr>
        <xdr:cNvPr id="5" name="CuadroTexto 4">
          <a:extLst>
            <a:ext uri="{FF2B5EF4-FFF2-40B4-BE49-F238E27FC236}">
              <a16:creationId xmlns:a16="http://schemas.microsoft.com/office/drawing/2014/main" id="{CEFFFD60-0074-492F-A9C3-F031B8CDB33F}"/>
            </a:ext>
          </a:extLst>
        </xdr:cNvPr>
        <xdr:cNvSpPr txBox="1"/>
      </xdr:nvSpPr>
      <xdr:spPr>
        <a:xfrm>
          <a:off x="2878880" y="4453908"/>
          <a:ext cx="1260000" cy="208136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fld id="{E44F9DC8-1F43-44A4-8C56-46D3F43F7DA4}" type="TxLink">
            <a:rPr lang="en-US" sz="1000" b="1" i="0" u="none" strike="noStrike">
              <a:solidFill>
                <a:sysClr val="windowText" lastClr="000000"/>
              </a:solidFill>
              <a:latin typeface="Calibri"/>
              <a:cs typeface="Calibri"/>
            </a:rPr>
            <a:pPr algn="l"/>
            <a:t>No</a:t>
          </a:fld>
          <a:endParaRPr lang="en-US" sz="10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20</xdr:col>
      <xdr:colOff>23</xdr:colOff>
      <xdr:row>3</xdr:row>
      <xdr:rowOff>1374</xdr:rowOff>
    </xdr:from>
    <xdr:to>
      <xdr:col>21</xdr:col>
      <xdr:colOff>520004</xdr:colOff>
      <xdr:row>4</xdr:row>
      <xdr:rowOff>9293</xdr:rowOff>
    </xdr:to>
    <xdr:sp macro="" textlink="$U$4">
      <xdr:nvSpPr>
        <xdr:cNvPr id="7" name="CuadroTexto 6">
          <a:extLst>
            <a:ext uri="{FF2B5EF4-FFF2-40B4-BE49-F238E27FC236}">
              <a16:creationId xmlns:a16="http://schemas.microsoft.com/office/drawing/2014/main" id="{2B12F78A-8DF0-4ACE-8A58-346F119DDBFB}"/>
            </a:ext>
          </a:extLst>
        </xdr:cNvPr>
        <xdr:cNvSpPr txBox="1"/>
      </xdr:nvSpPr>
      <xdr:spPr>
        <a:xfrm>
          <a:off x="2876108" y="2138691"/>
          <a:ext cx="1263396" cy="226297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fld id="{CE30CC7C-9300-4C85-9C86-046EED7B8B32}" type="TxLink">
            <a:rPr lang="en-US" sz="1000" b="1" i="0" u="none" strike="noStrike">
              <a:solidFill>
                <a:sysClr val="windowText" lastClr="000000"/>
              </a:solidFill>
              <a:latin typeface="Calibri"/>
              <a:ea typeface="+mn-ea"/>
              <a:cs typeface="Calibri"/>
            </a:rPr>
            <a:pPr marL="0" indent="0" algn="l"/>
            <a:t>SOLES</a:t>
          </a:fld>
          <a:endParaRPr lang="en-US" sz="1000" b="1" i="0" u="none" strike="noStrike">
            <a:solidFill>
              <a:sysClr val="windowText" lastClr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20</xdr:col>
      <xdr:colOff>1538</xdr:colOff>
      <xdr:row>2</xdr:row>
      <xdr:rowOff>5628</xdr:rowOff>
    </xdr:from>
    <xdr:to>
      <xdr:col>21</xdr:col>
      <xdr:colOff>521519</xdr:colOff>
      <xdr:row>3</xdr:row>
      <xdr:rowOff>0</xdr:rowOff>
    </xdr:to>
    <xdr:sp macro="" textlink="$U$3">
      <xdr:nvSpPr>
        <xdr:cNvPr id="8" name="CuadroTexto 7">
          <a:extLst>
            <a:ext uri="{FF2B5EF4-FFF2-40B4-BE49-F238E27FC236}">
              <a16:creationId xmlns:a16="http://schemas.microsoft.com/office/drawing/2014/main" id="{B72687F4-2933-4B30-8631-9A31DE77C678}"/>
            </a:ext>
          </a:extLst>
        </xdr:cNvPr>
        <xdr:cNvSpPr txBox="1">
          <a:spLocks noChangeAspect="1"/>
        </xdr:cNvSpPr>
      </xdr:nvSpPr>
      <xdr:spPr>
        <a:xfrm>
          <a:off x="2877623" y="1924567"/>
          <a:ext cx="1263396" cy="21275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fld id="{E126CB8A-55E3-41AD-8195-15BAED4ED462}" type="TxLink">
            <a:rPr lang="en-US" sz="1000" b="1" i="0" u="none" strike="noStrike">
              <a:solidFill>
                <a:sysClr val="windowText" lastClr="000000"/>
              </a:solidFill>
              <a:latin typeface="Calibri"/>
              <a:ea typeface="+mn-ea"/>
              <a:cs typeface="Calibri"/>
            </a:rPr>
            <a:pPr marL="0" indent="0" algn="l"/>
            <a:t>INDIVIDUAL</a:t>
          </a:fld>
          <a:endParaRPr lang="en-US" sz="1000" b="1" i="0" u="none" strike="noStrike">
            <a:solidFill>
              <a:sysClr val="windowText" lastClr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19</xdr:col>
      <xdr:colOff>1216152</xdr:colOff>
      <xdr:row>9</xdr:row>
      <xdr:rowOff>5506</xdr:rowOff>
    </xdr:from>
    <xdr:to>
      <xdr:col>21</xdr:col>
      <xdr:colOff>519864</xdr:colOff>
      <xdr:row>10</xdr:row>
      <xdr:rowOff>1617</xdr:rowOff>
    </xdr:to>
    <xdr:sp macro="" textlink="$U$10">
      <xdr:nvSpPr>
        <xdr:cNvPr id="9" name="CuadroTexto 8">
          <a:extLst>
            <a:ext uri="{FF2B5EF4-FFF2-40B4-BE49-F238E27FC236}">
              <a16:creationId xmlns:a16="http://schemas.microsoft.com/office/drawing/2014/main" id="{01A8ACE5-BB0B-467F-A8E7-92374F29AE2E}"/>
            </a:ext>
          </a:extLst>
        </xdr:cNvPr>
        <xdr:cNvSpPr txBox="1"/>
      </xdr:nvSpPr>
      <xdr:spPr>
        <a:xfrm>
          <a:off x="2872037" y="3544410"/>
          <a:ext cx="1260000" cy="215919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fld id="{BE301FDB-3309-4012-9462-493DFC5C58A3}" type="TxLink">
            <a:rPr lang="en-US" sz="1000" b="1" i="0" u="none" strike="noStrike">
              <a:solidFill>
                <a:sysClr val="windowText" lastClr="000000"/>
              </a:solidFill>
              <a:latin typeface="Calibri"/>
              <a:ea typeface="+mn-ea"/>
              <a:cs typeface="Calibri"/>
            </a:rPr>
            <a:pPr marL="0" indent="0" algn="l"/>
            <a:t>TEA (Tasa Efectiva Anual)</a:t>
          </a:fld>
          <a:endParaRPr lang="en-US" sz="1000" b="1" i="0" u="none" strike="noStrike">
            <a:solidFill>
              <a:sysClr val="windowText" lastClr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20</xdr:col>
      <xdr:colOff>2747</xdr:colOff>
      <xdr:row>11</xdr:row>
      <xdr:rowOff>7472</xdr:rowOff>
    </xdr:from>
    <xdr:to>
      <xdr:col>21</xdr:col>
      <xdr:colOff>522728</xdr:colOff>
      <xdr:row>12</xdr:row>
      <xdr:rowOff>3583</xdr:rowOff>
    </xdr:to>
    <xdr:sp macro="" textlink="$U$12">
      <xdr:nvSpPr>
        <xdr:cNvPr id="10" name="CuadroTexto 9">
          <a:extLst>
            <a:ext uri="{FF2B5EF4-FFF2-40B4-BE49-F238E27FC236}">
              <a16:creationId xmlns:a16="http://schemas.microsoft.com/office/drawing/2014/main" id="{773A5BAB-E278-42D3-95B2-541535629B82}"/>
            </a:ext>
          </a:extLst>
        </xdr:cNvPr>
        <xdr:cNvSpPr txBox="1"/>
      </xdr:nvSpPr>
      <xdr:spPr>
        <a:xfrm>
          <a:off x="2874901" y="4015299"/>
          <a:ext cx="1260000" cy="215919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fld id="{C8CB08A0-8215-458A-A7B2-0F25C74374A0}" type="TxLink">
            <a:rPr lang="en-US" sz="1000" b="1" i="0" u="none" strike="noStrike">
              <a:solidFill>
                <a:sysClr val="windowText" lastClr="000000"/>
              </a:solidFill>
              <a:latin typeface="Calibri"/>
              <a:ea typeface="+mn-ea"/>
              <a:cs typeface="Calibri"/>
            </a:rPr>
            <a:pPr marL="0" indent="0" algn="l"/>
            <a:t>CON SEGURO</a:t>
          </a:fld>
          <a:endParaRPr lang="en-US" sz="1000" b="1" i="0" u="none" strike="noStrike">
            <a:solidFill>
              <a:sysClr val="windowText" lastClr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 editAs="oneCell">
    <xdr:from>
      <xdr:col>23</xdr:col>
      <xdr:colOff>16565</xdr:colOff>
      <xdr:row>8</xdr:row>
      <xdr:rowOff>82826</xdr:rowOff>
    </xdr:from>
    <xdr:to>
      <xdr:col>25</xdr:col>
      <xdr:colOff>907452</xdr:colOff>
      <xdr:row>11</xdr:row>
      <xdr:rowOff>33545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F255ADBB-84D0-4B4E-BB0B-D393BA989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1674" y="3495261"/>
          <a:ext cx="3505200" cy="638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33131</xdr:colOff>
      <xdr:row>11</xdr:row>
      <xdr:rowOff>107674</xdr:rowOff>
    </xdr:from>
    <xdr:to>
      <xdr:col>24</xdr:col>
      <xdr:colOff>621182</xdr:colOff>
      <xdr:row>14</xdr:row>
      <xdr:rowOff>102186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4C28DEB9-6E77-4D00-BDB1-4528F5B12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58240" y="4099891"/>
          <a:ext cx="2371725" cy="6405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1216152</xdr:colOff>
      <xdr:row>9</xdr:row>
      <xdr:rowOff>5506</xdr:rowOff>
    </xdr:from>
    <xdr:to>
      <xdr:col>21</xdr:col>
      <xdr:colOff>519864</xdr:colOff>
      <xdr:row>10</xdr:row>
      <xdr:rowOff>1617</xdr:rowOff>
    </xdr:to>
    <xdr:sp macro="" textlink="$U$10">
      <xdr:nvSpPr>
        <xdr:cNvPr id="12" name="CuadroTexto 11">
          <a:extLst>
            <a:ext uri="{FF2B5EF4-FFF2-40B4-BE49-F238E27FC236}">
              <a16:creationId xmlns:a16="http://schemas.microsoft.com/office/drawing/2014/main" id="{B89F5392-34C9-45C3-ABAC-099837B14AAB}"/>
            </a:ext>
          </a:extLst>
        </xdr:cNvPr>
        <xdr:cNvSpPr txBox="1"/>
      </xdr:nvSpPr>
      <xdr:spPr>
        <a:xfrm>
          <a:off x="2149602" y="3510706"/>
          <a:ext cx="1361112" cy="21201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fld id="{BE301FDB-3309-4012-9462-493DFC5C58A3}" type="TxLink">
            <a:rPr lang="en-US" sz="1000" b="1" i="0" u="none" strike="noStrike">
              <a:solidFill>
                <a:sysClr val="windowText" lastClr="000000"/>
              </a:solidFill>
              <a:latin typeface="Calibri"/>
              <a:ea typeface="+mn-ea"/>
              <a:cs typeface="Calibri"/>
            </a:rPr>
            <a:pPr marL="0" indent="0" algn="l"/>
            <a:t>TEA (Tasa Efectiva Anual)</a:t>
          </a:fld>
          <a:endParaRPr lang="en-US" sz="1000" b="1" i="0" u="none" strike="noStrike">
            <a:solidFill>
              <a:sysClr val="windowText" lastClr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15679</xdr:rowOff>
    </xdr:from>
    <xdr:to>
      <xdr:col>27</xdr:col>
      <xdr:colOff>176389</xdr:colOff>
      <xdr:row>0</xdr:row>
      <xdr:rowOff>1489507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7C50A300-C8C7-7E34-C16F-2BB81DA922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981"/>
        <a:stretch/>
      </xdr:blipFill>
      <xdr:spPr>
        <a:xfrm>
          <a:off x="0" y="15679"/>
          <a:ext cx="10107083" cy="14738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121478</xdr:rowOff>
    </xdr:from>
    <xdr:to>
      <xdr:col>20</xdr:col>
      <xdr:colOff>271047</xdr:colOff>
      <xdr:row>0</xdr:row>
      <xdr:rowOff>1362512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649E4AC4-6C49-884E-07A4-0268AD7FBE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6781" b="19886"/>
        <a:stretch/>
      </xdr:blipFill>
      <xdr:spPr bwMode="auto">
        <a:xfrm>
          <a:off x="0" y="121478"/>
          <a:ext cx="2926523" cy="124103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283503</xdr:colOff>
      <xdr:row>2</xdr:row>
      <xdr:rowOff>189310</xdr:rowOff>
    </xdr:from>
    <xdr:to>
      <xdr:col>28</xdr:col>
      <xdr:colOff>618659</xdr:colOff>
      <xdr:row>20</xdr:row>
      <xdr:rowOff>8467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330B2E-E03A-C0A9-7B1D-617938B164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4607"/>
        <a:stretch/>
      </xdr:blipFill>
      <xdr:spPr>
        <a:xfrm>
          <a:off x="15401388" y="563797"/>
          <a:ext cx="9518233" cy="35070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196478</xdr:colOff>
      <xdr:row>2</xdr:row>
      <xdr:rowOff>15875</xdr:rowOff>
    </xdr:from>
    <xdr:to>
      <xdr:col>37</xdr:col>
      <xdr:colOff>672728</xdr:colOff>
      <xdr:row>13</xdr:row>
      <xdr:rowOff>682625</xdr:rowOff>
    </xdr:to>
    <xdr:pic>
      <xdr:nvPicPr>
        <xdr:cNvPr id="2" name="Imagen 10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89603" y="396875"/>
          <a:ext cx="4286250" cy="431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gela Carol Cleotilde Borja Delgado" id="{41F443FB-865C-4F6E-8161-DD23D1C77DEC}" userId="S::aborjad@compartamos.pe::686ab60f-7351-4eac-b511-1b10723da7ef" providerId="AD"/>
  <person displayName="Pierce Renato Ferrer Saba" id="{FD4E2AAD-A093-484B-A04C-53205A6371D0}" userId="S::pferrer@compartamos.pe::2f897884-d56f-49e2-88ca-7ea9c3281c03" providerId="AD"/>
</personList>
</file>

<file path=xl/theme/theme1.xml><?xml version="1.0" encoding="utf-8"?>
<a:theme xmlns:a="http://schemas.openxmlformats.org/drawingml/2006/main" name="Tema de Office">
  <a:themeElements>
    <a:clrScheme name="Personalizado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E20076"/>
      </a:accent1>
      <a:accent2>
        <a:srgbClr val="75005C"/>
      </a:accent2>
      <a:accent3>
        <a:srgbClr val="E89418"/>
      </a:accent3>
      <a:accent4>
        <a:srgbClr val="E89E00"/>
      </a:accent4>
      <a:accent5>
        <a:srgbClr val="44546A"/>
      </a:accent5>
      <a:accent6>
        <a:srgbClr val="4A2739"/>
      </a:accent6>
      <a:hlink>
        <a:srgbClr val="0563C1"/>
      </a:hlink>
      <a:folHlink>
        <a:srgbClr val="E20076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8" dT="2024-09-30T21:55:25.52" personId="{FD4E2AAD-A093-484B-A04C-53205A6371D0}" id="{7AE89BD3-E59C-493A-A019-578703AF03ED}">
    <text>Actualización solicitada por Edith Cusihuaman</text>
  </threadedComment>
  <threadedComment ref="E9" dT="2024-09-30T21:56:00.46" personId="{FD4E2AAD-A093-484B-A04C-53205A6371D0}" id="{A319D9CA-26FA-4A39-84D1-9AE8666A860B}">
    <text xml:space="preserve">Reducción solicitada por E. Cusihuaman </text>
  </threadedComment>
  <threadedComment ref="A13" dT="2025-02-07T14:49:16.76" personId="{41F443FB-865C-4F6E-8161-DD23D1C77DEC}" id="{A5360B4A-6B78-410F-9A41-A584E679B541}">
    <text>Construye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wincalendar.com/es/pe/Navidad" TargetMode="External"/><Relationship Id="rId18" Type="http://schemas.openxmlformats.org/officeDocument/2006/relationships/hyperlink" Target="https://www.wincalendar.com/es/pe/Viernes-Santo" TargetMode="External"/><Relationship Id="rId26" Type="http://schemas.openxmlformats.org/officeDocument/2006/relationships/hyperlink" Target="https://www.wincalendar.com/es/pe/Dia-de-la-Inmaculada-Concepcion" TargetMode="External"/><Relationship Id="rId39" Type="http://schemas.openxmlformats.org/officeDocument/2006/relationships/hyperlink" Target="https://www.wincalendar.com/es/pe/Dia-de-la-Inmaculada-Concepcion" TargetMode="External"/><Relationship Id="rId21" Type="http://schemas.openxmlformats.org/officeDocument/2006/relationships/hyperlink" Target="https://www.wincalendar.com/es/pe/San-Pedro-y-San-Pablo" TargetMode="External"/><Relationship Id="rId34" Type="http://schemas.openxmlformats.org/officeDocument/2006/relationships/hyperlink" Target="https://www.wincalendar.com/es/pe/San-Pedro-y-San-Pablo" TargetMode="External"/><Relationship Id="rId42" Type="http://schemas.openxmlformats.org/officeDocument/2006/relationships/hyperlink" Target="https://www.wincalendar.com/es/pe/Carnaval-Lunes" TargetMode="External"/><Relationship Id="rId47" Type="http://schemas.openxmlformats.org/officeDocument/2006/relationships/hyperlink" Target="https://www.wincalendar.com/es/pe/San-Pedro-y-San-Pablo" TargetMode="External"/><Relationship Id="rId50" Type="http://schemas.openxmlformats.org/officeDocument/2006/relationships/hyperlink" Target="https://www.wincalendar.com/es/pe/Combate-Naval-de-Angamos" TargetMode="External"/><Relationship Id="rId55" Type="http://schemas.openxmlformats.org/officeDocument/2006/relationships/hyperlink" Target="https://www.wincalendar.com/es/pe/Navidad" TargetMode="External"/><Relationship Id="rId7" Type="http://schemas.openxmlformats.org/officeDocument/2006/relationships/hyperlink" Target="https://www.wincalendar.com/es/pe/San-Pedro-y-San-Pablo" TargetMode="External"/><Relationship Id="rId2" Type="http://schemas.openxmlformats.org/officeDocument/2006/relationships/hyperlink" Target="https://www.wincalendar.com/es/pe/Carnaval-Lunes" TargetMode="External"/><Relationship Id="rId16" Type="http://schemas.openxmlformats.org/officeDocument/2006/relationships/hyperlink" Target="https://www.wincalendar.com/es/pe/Carnaval-Lunes" TargetMode="External"/><Relationship Id="rId29" Type="http://schemas.openxmlformats.org/officeDocument/2006/relationships/hyperlink" Target="https://www.wincalendar.com/es/pe/Carnaval-Lunes" TargetMode="External"/><Relationship Id="rId11" Type="http://schemas.openxmlformats.org/officeDocument/2006/relationships/hyperlink" Target="https://www.wincalendar.com/es/pe/Dia-de-Todos-los-Santos" TargetMode="External"/><Relationship Id="rId24" Type="http://schemas.openxmlformats.org/officeDocument/2006/relationships/hyperlink" Target="https://www.wincalendar.com/es/pe/Combate-Naval-de-Angamos" TargetMode="External"/><Relationship Id="rId32" Type="http://schemas.openxmlformats.org/officeDocument/2006/relationships/hyperlink" Target="https://www.wincalendar.com/es/pe/Dia-del-Trabajo" TargetMode="External"/><Relationship Id="rId37" Type="http://schemas.openxmlformats.org/officeDocument/2006/relationships/hyperlink" Target="https://www.wincalendar.com/es/pe/Combate-Naval-de-Angamos" TargetMode="External"/><Relationship Id="rId40" Type="http://schemas.openxmlformats.org/officeDocument/2006/relationships/hyperlink" Target="https://www.wincalendar.com/es/pe/Navidad" TargetMode="External"/><Relationship Id="rId45" Type="http://schemas.openxmlformats.org/officeDocument/2006/relationships/hyperlink" Target="https://www.wincalendar.com/es/pe/Dia-del-Trabajo" TargetMode="External"/><Relationship Id="rId53" Type="http://schemas.openxmlformats.org/officeDocument/2006/relationships/hyperlink" Target="https://www.wincalendar.com/es/pe/Navidad" TargetMode="External"/><Relationship Id="rId5" Type="http://schemas.openxmlformats.org/officeDocument/2006/relationships/hyperlink" Target="https://www.wincalendar.com/es/pe/Dia-del-Trabajo" TargetMode="External"/><Relationship Id="rId10" Type="http://schemas.openxmlformats.org/officeDocument/2006/relationships/hyperlink" Target="https://www.wincalendar.com/es/pe/Combate-Naval-de-Angamos" TargetMode="External"/><Relationship Id="rId19" Type="http://schemas.openxmlformats.org/officeDocument/2006/relationships/hyperlink" Target="https://www.wincalendar.com/es/pe/Dia-del-Trabajo" TargetMode="External"/><Relationship Id="rId31" Type="http://schemas.openxmlformats.org/officeDocument/2006/relationships/hyperlink" Target="https://www.wincalendar.com/es/pe/Viernes-Santo" TargetMode="External"/><Relationship Id="rId44" Type="http://schemas.openxmlformats.org/officeDocument/2006/relationships/hyperlink" Target="https://www.wincalendar.com/es/pe/Viernes-Santo" TargetMode="External"/><Relationship Id="rId52" Type="http://schemas.openxmlformats.org/officeDocument/2006/relationships/hyperlink" Target="https://www.wincalendar.com/es/pe/Dia-de-la-Inmaculada-Concepcion" TargetMode="External"/><Relationship Id="rId4" Type="http://schemas.openxmlformats.org/officeDocument/2006/relationships/hyperlink" Target="https://www.wincalendar.com/es/pe/Viernes-Santo" TargetMode="External"/><Relationship Id="rId9" Type="http://schemas.openxmlformats.org/officeDocument/2006/relationships/hyperlink" Target="https://www.wincalendar.com/es/pe/Santa-Rosa-de-Lima" TargetMode="External"/><Relationship Id="rId14" Type="http://schemas.openxmlformats.org/officeDocument/2006/relationships/hyperlink" Target="https://www.wincalendar.com/es/Calendario-2021-Feriados-Peru-Excel" TargetMode="External"/><Relationship Id="rId22" Type="http://schemas.openxmlformats.org/officeDocument/2006/relationships/hyperlink" Target="https://www.wincalendar.com/es/pe/Independencia-del-Peru" TargetMode="External"/><Relationship Id="rId27" Type="http://schemas.openxmlformats.org/officeDocument/2006/relationships/hyperlink" Target="https://www.wincalendar.com/es/pe/Navidad" TargetMode="External"/><Relationship Id="rId30" Type="http://schemas.openxmlformats.org/officeDocument/2006/relationships/hyperlink" Target="https://www.wincalendar.com/es/pe/Jueves-Santo" TargetMode="External"/><Relationship Id="rId35" Type="http://schemas.openxmlformats.org/officeDocument/2006/relationships/hyperlink" Target="https://www.wincalendar.com/es/pe/Independencia-del-Peru" TargetMode="External"/><Relationship Id="rId43" Type="http://schemas.openxmlformats.org/officeDocument/2006/relationships/hyperlink" Target="https://www.wincalendar.com/es/pe/Jueves-Santo" TargetMode="External"/><Relationship Id="rId48" Type="http://schemas.openxmlformats.org/officeDocument/2006/relationships/hyperlink" Target="https://www.wincalendar.com/es/pe/Independencia-del-Peru" TargetMode="External"/><Relationship Id="rId56" Type="http://schemas.openxmlformats.org/officeDocument/2006/relationships/printerSettings" Target="../printerSettings/printerSettings3.bin"/><Relationship Id="rId8" Type="http://schemas.openxmlformats.org/officeDocument/2006/relationships/hyperlink" Target="https://www.wincalendar.com/es/pe/Independencia-del-Peru" TargetMode="External"/><Relationship Id="rId51" Type="http://schemas.openxmlformats.org/officeDocument/2006/relationships/hyperlink" Target="https://www.wincalendar.com/es/pe/Dia-de-Todos-los-Santos" TargetMode="External"/><Relationship Id="rId3" Type="http://schemas.openxmlformats.org/officeDocument/2006/relationships/hyperlink" Target="https://www.wincalendar.com/es/pe/Jueves-Santo" TargetMode="External"/><Relationship Id="rId12" Type="http://schemas.openxmlformats.org/officeDocument/2006/relationships/hyperlink" Target="https://www.wincalendar.com/es/pe/Dia-de-la-Inmaculada-Concepcion" TargetMode="External"/><Relationship Id="rId17" Type="http://schemas.openxmlformats.org/officeDocument/2006/relationships/hyperlink" Target="https://www.wincalendar.com/es/pe/Jueves-Santo" TargetMode="External"/><Relationship Id="rId25" Type="http://schemas.openxmlformats.org/officeDocument/2006/relationships/hyperlink" Target="https://www.wincalendar.com/es/pe/Dia-de-Todos-los-Santos" TargetMode="External"/><Relationship Id="rId33" Type="http://schemas.openxmlformats.org/officeDocument/2006/relationships/hyperlink" Target="https://www.wincalendar.com/es/pe/Dia-de-la-Ascension" TargetMode="External"/><Relationship Id="rId38" Type="http://schemas.openxmlformats.org/officeDocument/2006/relationships/hyperlink" Target="https://www.wincalendar.com/es/pe/Dia-de-Todos-los-Santos" TargetMode="External"/><Relationship Id="rId46" Type="http://schemas.openxmlformats.org/officeDocument/2006/relationships/hyperlink" Target="https://www.wincalendar.com/es/pe/Dia-de-la-Ascension" TargetMode="External"/><Relationship Id="rId20" Type="http://schemas.openxmlformats.org/officeDocument/2006/relationships/hyperlink" Target="https://www.wincalendar.com/es/pe/Dia-de-la-Ascension" TargetMode="External"/><Relationship Id="rId41" Type="http://schemas.openxmlformats.org/officeDocument/2006/relationships/hyperlink" Target="https://www.wincalendar.com/es/pe/Ano-Nuevo" TargetMode="External"/><Relationship Id="rId54" Type="http://schemas.openxmlformats.org/officeDocument/2006/relationships/hyperlink" Target="https://www.wincalendar.com/es/pe/Ano-Nuevo" TargetMode="External"/><Relationship Id="rId1" Type="http://schemas.openxmlformats.org/officeDocument/2006/relationships/hyperlink" Target="https://www.wincalendar.com/es/pe/Ano-Nuevo" TargetMode="External"/><Relationship Id="rId6" Type="http://schemas.openxmlformats.org/officeDocument/2006/relationships/hyperlink" Target="https://www.wincalendar.com/es/pe/Dia-de-la-Ascension" TargetMode="External"/><Relationship Id="rId15" Type="http://schemas.openxmlformats.org/officeDocument/2006/relationships/hyperlink" Target="https://www.wincalendar.com/es/pe/Ano-Nuevo" TargetMode="External"/><Relationship Id="rId23" Type="http://schemas.openxmlformats.org/officeDocument/2006/relationships/hyperlink" Target="https://www.wincalendar.com/es/pe/Santa-Rosa-de-Lima" TargetMode="External"/><Relationship Id="rId28" Type="http://schemas.openxmlformats.org/officeDocument/2006/relationships/hyperlink" Target="https://www.wincalendar.com/es/pe/Ano-Nuevo" TargetMode="External"/><Relationship Id="rId36" Type="http://schemas.openxmlformats.org/officeDocument/2006/relationships/hyperlink" Target="https://www.wincalendar.com/es/pe/Santa-Rosa-de-Lima" TargetMode="External"/><Relationship Id="rId49" Type="http://schemas.openxmlformats.org/officeDocument/2006/relationships/hyperlink" Target="https://www.wincalendar.com/es/pe/Santa-Rosa-de-Lima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microsoft.com/office/2017/10/relationships/threadedComment" Target="../threadedComments/threadedComment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F814C-7070-4815-9D4E-C2082969F70A}">
  <sheetPr codeName="Hoja6">
    <tabColor theme="7"/>
  </sheetPr>
  <dimension ref="A1:XEH226"/>
  <sheetViews>
    <sheetView showGridLines="0" showRowColHeaders="0" tabSelected="1" showWhiteSpace="0" topLeftCell="S2" zoomScale="72" zoomScaleNormal="70" zoomScaleSheetLayoutView="85" zoomScalePageLayoutView="40" workbookViewId="0">
      <selection activeCell="U11" sqref="U11:V11"/>
    </sheetView>
  </sheetViews>
  <sheetFormatPr baseColWidth="10" defaultColWidth="10.90625" defaultRowHeight="14.5"/>
  <cols>
    <col min="1" max="1" width="10.453125" style="40" hidden="1" customWidth="1"/>
    <col min="2" max="2" width="47" style="40" hidden="1" customWidth="1"/>
    <col min="3" max="3" width="13.08984375" style="40" hidden="1" customWidth="1"/>
    <col min="4" max="4" width="36.81640625" style="40" hidden="1" customWidth="1"/>
    <col min="5" max="5" width="12" style="40" hidden="1" customWidth="1"/>
    <col min="6" max="6" width="12.1796875" style="40" hidden="1" customWidth="1"/>
    <col min="7" max="7" width="87.26953125" style="40" hidden="1" customWidth="1"/>
    <col min="8" max="8" width="11.1796875" style="40" hidden="1" customWidth="1"/>
    <col min="9" max="10" width="9.1796875" style="40" hidden="1" customWidth="1"/>
    <col min="11" max="11" width="12.26953125" style="40" hidden="1" customWidth="1"/>
    <col min="12" max="12" width="12" style="40" hidden="1" customWidth="1"/>
    <col min="13" max="13" width="9.81640625" style="40" hidden="1" customWidth="1"/>
    <col min="14" max="14" width="3.90625" style="40" hidden="1" customWidth="1"/>
    <col min="15" max="15" width="10.453125" style="40" hidden="1" customWidth="1"/>
    <col min="16" max="16" width="9.7265625" style="40" hidden="1" customWidth="1"/>
    <col min="17" max="17" width="12.1796875" style="40" hidden="1" customWidth="1"/>
    <col min="18" max="18" width="4.36328125" style="40" hidden="1" customWidth="1"/>
    <col min="19" max="19" width="34.7265625" style="40" customWidth="1"/>
    <col min="20" max="20" width="3.90625" style="40" customWidth="1"/>
    <col min="21" max="21" width="11.08984375" style="40" customWidth="1"/>
    <col min="22" max="22" width="15.90625" style="40" customWidth="1"/>
    <col min="23" max="23" width="12.36328125" style="40" bestFit="1" customWidth="1"/>
    <col min="24" max="24" width="26.7265625" style="40" bestFit="1" customWidth="1"/>
    <col min="25" max="25" width="12.453125" style="40" bestFit="1" customWidth="1"/>
    <col min="26" max="26" width="13.6328125" style="40" bestFit="1" customWidth="1"/>
    <col min="27" max="27" width="11.1796875" style="40" bestFit="1" customWidth="1"/>
    <col min="28" max="28" width="10.08984375" style="40" customWidth="1"/>
    <col min="29" max="29" width="1.6328125" style="40" hidden="1" customWidth="1"/>
    <col min="30" max="30" width="6.81640625" style="40" hidden="1" customWidth="1"/>
    <col min="31" max="31" width="1.81640625" style="40" hidden="1" customWidth="1"/>
    <col min="32" max="33" width="6.81640625" style="40" hidden="1" customWidth="1"/>
    <col min="34" max="34" width="18.1796875" style="40" hidden="1" customWidth="1"/>
    <col min="35" max="35" width="35.54296875" style="40" hidden="1" customWidth="1"/>
    <col min="36" max="36" width="13.54296875" style="40" hidden="1" customWidth="1"/>
    <col min="37" max="37" width="13.1796875" style="40" hidden="1" customWidth="1"/>
    <col min="38" max="38" width="12.08984375" style="40" hidden="1" customWidth="1"/>
    <col min="39" max="39" width="10.1796875" style="40" hidden="1" customWidth="1"/>
    <col min="40" max="40" width="1.6328125" style="40" hidden="1" customWidth="1"/>
    <col min="41" max="41" width="20.26953125" style="40" hidden="1" customWidth="1"/>
    <col min="42" max="42" width="9.1796875" style="40" hidden="1" customWidth="1"/>
    <col min="43" max="43" width="6.7265625" style="40" hidden="1" customWidth="1"/>
    <col min="44" max="46" width="6.81640625" style="40" hidden="1" customWidth="1"/>
    <col min="47" max="47" width="6.6328125" style="40" hidden="1" customWidth="1"/>
    <col min="48" max="48" width="2.08984375" style="40" hidden="1" customWidth="1"/>
    <col min="49" max="49" width="5.36328125" style="40" hidden="1" customWidth="1"/>
    <col min="50" max="51" width="3.7265625" style="40" hidden="1" customWidth="1"/>
    <col min="52" max="52" width="3.08984375" style="40" hidden="1" customWidth="1"/>
    <col min="53" max="54" width="1.453125" style="40" hidden="1" customWidth="1"/>
    <col min="55" max="55" width="6.81640625" style="40" hidden="1" customWidth="1"/>
    <col min="56" max="56" width="15.1796875" style="40" customWidth="1"/>
    <col min="57" max="57" width="255.81640625" style="175" customWidth="1"/>
    <col min="58" max="61" width="16.08984375" style="40" customWidth="1"/>
    <col min="62" max="62" width="23" style="40" customWidth="1"/>
    <col min="63" max="63" width="8.1796875" style="40" customWidth="1"/>
    <col min="64" max="70" width="16.08984375" style="176" customWidth="1"/>
    <col min="71" max="71" width="72.453125" style="176" customWidth="1"/>
    <col min="72" max="16361" width="10.90625" style="176"/>
    <col min="16362" max="16362" width="10.36328125" style="176" customWidth="1"/>
    <col min="16363" max="16384" width="10.90625" style="40" hidden="1" customWidth="1"/>
  </cols>
  <sheetData>
    <row r="1" spans="1:42" ht="128.75" customHeight="1" thickBot="1">
      <c r="R1" s="94"/>
      <c r="S1" s="194"/>
      <c r="T1" s="194"/>
      <c r="U1" s="194"/>
      <c r="V1" s="194"/>
      <c r="W1" s="194"/>
      <c r="X1" s="95"/>
      <c r="Y1"/>
      <c r="Z1" s="96"/>
      <c r="AC1" s="94"/>
    </row>
    <row r="2" spans="1:42" ht="22.5" customHeight="1" thickBot="1">
      <c r="R2" s="94"/>
      <c r="S2" s="194"/>
      <c r="T2" s="194"/>
      <c r="U2" s="194"/>
      <c r="V2" s="194"/>
      <c r="W2" s="194"/>
      <c r="X2" s="95"/>
      <c r="Y2" s="95"/>
      <c r="Z2" s="105" t="s">
        <v>147</v>
      </c>
      <c r="AA2" s="160">
        <f ca="1">TODAY()</f>
        <v>46055</v>
      </c>
      <c r="AB2" s="106"/>
      <c r="AC2" s="94"/>
      <c r="AH2" s="180" t="str">
        <f>Listas!AF1</f>
        <v>Rango de N° de Cuotas</v>
      </c>
      <c r="AI2" s="181"/>
      <c r="AL2" s="40" t="s">
        <v>169</v>
      </c>
      <c r="AM2" s="121" t="str">
        <f>IF(VLOOKUP(U5,Listas!$H$27:$I$42,2,FALSE)=Listas!A19,Listas!H21,Listas!H2)</f>
        <v>EFECTIVO</v>
      </c>
      <c r="AN2" s="121">
        <f>IF(AND(U3="GRUPAL",U5="CRECE Y MEJORA"),U9,IF(VLOOKUP(U9,Listas!H46:I60,2,FALSE)=Listas!A19,Listas!O25,Listas!O2))</f>
        <v>2</v>
      </c>
      <c r="AO2" s="121" t="str">
        <f>IF(VLOOKUP(U13,Listas!H62:I64,2,FALSE)=Listas!A19,Listas!U7,Listas!V2)</f>
        <v>MENSUAL</v>
      </c>
      <c r="AP2" s="121" t="str">
        <f>IF(OR(U14=Listas!AC2,U14=Listas!AC3,U14=Listas!AC4,U14=Listas!AC5,U14=Listas!AC6,U14=Listas!AC7,U14=Listas!AC8,U14=Listas!AC9,U14=Listas!AC10),Listas!AC13,Listas!AC2)</f>
        <v>No</v>
      </c>
    </row>
    <row r="3" spans="1:42" ht="17.25" customHeight="1" thickBot="1">
      <c r="R3" s="94"/>
      <c r="S3" s="184" t="s">
        <v>163</v>
      </c>
      <c r="T3" s="184"/>
      <c r="U3" s="199" t="s">
        <v>78</v>
      </c>
      <c r="V3" s="200"/>
      <c r="W3" s="94"/>
      <c r="X3" s="104" t="s">
        <v>146</v>
      </c>
      <c r="Y3" s="94"/>
      <c r="Z3" s="94"/>
      <c r="AA3" s="94"/>
      <c r="AB3" s="94"/>
      <c r="AC3" s="94"/>
      <c r="AH3" s="41" t="str">
        <f>Listas!AF2</f>
        <v>Min</v>
      </c>
      <c r="AI3" s="41">
        <f>Listas!AG2</f>
        <v>6</v>
      </c>
      <c r="AJ3" s="40" t="str">
        <f>CONCATENATE(AH3," ",AI3)</f>
        <v>Min 6</v>
      </c>
    </row>
    <row r="4" spans="1:42" ht="17.25" customHeight="1" thickBot="1">
      <c r="R4" s="94"/>
      <c r="S4" s="184" t="s">
        <v>162</v>
      </c>
      <c r="T4" s="184"/>
      <c r="U4" s="199" t="s">
        <v>87</v>
      </c>
      <c r="V4" s="200"/>
      <c r="W4" s="97"/>
      <c r="X4" s="184" t="s">
        <v>104</v>
      </c>
      <c r="Y4" s="184"/>
      <c r="Z4" s="195"/>
      <c r="AA4" s="100">
        <f>IF(Listas!AO5=Listas!AP3,ROUND((1+U11)^12-1,6),'Simulador '!U11)</f>
        <v>0.3</v>
      </c>
      <c r="AB4" s="94"/>
      <c r="AC4" s="94"/>
      <c r="AH4" s="41" t="str">
        <f>Listas!AF3</f>
        <v>Max</v>
      </c>
      <c r="AI4" s="41">
        <f>Listas!AG3</f>
        <v>24</v>
      </c>
      <c r="AJ4" s="40" t="str">
        <f>CONCATENATE(AH4," ",AI4)</f>
        <v>Max 24</v>
      </c>
    </row>
    <row r="5" spans="1:42" ht="17.25" customHeight="1" thickBot="1">
      <c r="R5" s="94"/>
      <c r="S5" s="184" t="s">
        <v>164</v>
      </c>
      <c r="T5" s="184"/>
      <c r="U5" s="201" t="s">
        <v>81</v>
      </c>
      <c r="V5" s="202"/>
      <c r="W5" s="97"/>
      <c r="X5" s="184" t="s">
        <v>103</v>
      </c>
      <c r="Y5" s="184"/>
      <c r="Z5" s="195"/>
      <c r="AA5" s="101">
        <f>IF(C26="Recalcular","Recalcular",ROUND(C26,4))</f>
        <v>0.32540000000000002</v>
      </c>
      <c r="AB5" s="94"/>
      <c r="AC5" s="94"/>
      <c r="AD5" s="45"/>
    </row>
    <row r="6" spans="1:42" ht="19" thickBot="1">
      <c r="R6" s="94"/>
      <c r="S6" s="184" t="s">
        <v>41</v>
      </c>
      <c r="T6" s="195"/>
      <c r="U6" s="203">
        <v>1500</v>
      </c>
      <c r="V6" s="204"/>
      <c r="W6" s="97"/>
      <c r="X6" s="184" t="s">
        <v>71</v>
      </c>
      <c r="Y6" s="184"/>
      <c r="Z6" s="195"/>
      <c r="AA6" s="159">
        <f>IF(OR(Listas!$K$6=Listas!$L$3,Listas!$K$6=Listas!$L$4),"No Aplica",IF(AND(Listas!H21=Listas!I17,Listas!U7=Listas!Y3),'Simulador '!AI28,IF(AND(Listas!H21=Listas!I17,Listas!U7=Listas!Y4),'Simulador '!AI29,IF(Listas!H21=Listas!I16,'Simulador '!AI31,IF(Listas!D5=Listas!C2,IF(AND(Listas!A5=Listas!B2,Listas!K6=Listas!L5,U6&lt;=$AI$23),AK23,IF(AND(Listas!A5=Listas!B2,Listas!K6=Listas!L5,U6&lt;=$AI$24),AK24,IF(AND(Listas!A5=Listas!B2,Listas!K6=Listas!L5,U6&gt;$AI$24),AK25,IF(AND(Listas!A5=Listas!B2,U6&lt;=$AI$23),AJ23,IF(AND(Listas!A5=Listas!B2,U6&lt;=$AI$24),AJ24,IF(AND(Listas!A5=Listas!B2,U6&gt;$AI$24),AJ25,IF(AND(Listas!A5=Listas!B2,(U6*$T$120)&lt;=$AI$23),AJ23,IF(AND(Listas!A5=Listas!B2,(U6*$T$120)&lt;=$AI$24),AJ24,AJ25)))))))))))))</f>
        <v>1.5E-3</v>
      </c>
      <c r="AB6" s="94"/>
      <c r="AC6" s="94"/>
      <c r="AH6" s="180" t="str">
        <f>Listas!AI1</f>
        <v>Rango de Monto</v>
      </c>
      <c r="AI6" s="181"/>
      <c r="AL6" s="180" t="s">
        <v>158</v>
      </c>
      <c r="AM6" s="181"/>
    </row>
    <row r="7" spans="1:42" ht="19" thickBot="1">
      <c r="R7" s="94"/>
      <c r="S7" s="184" t="s">
        <v>42</v>
      </c>
      <c r="T7" s="195"/>
      <c r="U7" s="205">
        <v>8</v>
      </c>
      <c r="V7" s="206"/>
      <c r="W7" s="97"/>
      <c r="X7" s="184" t="s">
        <v>72</v>
      </c>
      <c r="Y7" s="184"/>
      <c r="Z7" s="195"/>
      <c r="AA7" s="102">
        <f>IF(AND(Listas!D5=Listas!C2),IF(AA6="No Aplica",AA6,1),IF(AA6="No Aplica",AA6,(1/'Simulador '!$T$120)))</f>
        <v>1</v>
      </c>
      <c r="AB7" s="94"/>
      <c r="AC7" s="94"/>
      <c r="AH7" s="41" t="str">
        <f>Listas!AI2</f>
        <v>Min</v>
      </c>
      <c r="AI7" s="42">
        <f>Listas!AJ2</f>
        <v>1500</v>
      </c>
      <c r="AJ7" s="40" t="str">
        <f>CONCATENATE(AH7," ",TEXT(AI7,"#,##"))</f>
        <v>Min 1,500</v>
      </c>
      <c r="AL7" s="40" t="str">
        <f>Listas!K6</f>
        <v>CON SEGURO</v>
      </c>
      <c r="AM7" s="112" t="str">
        <f>IF(AND(Listas!A5=Listas!B2,Listas!K6=Listas!L5),"CORRECTO",IF(AND(Listas!A5=Listas!B3,Listas!K6=Listas!L5),"INCORRECTO","CORRECTO"))</f>
        <v>CORRECTO</v>
      </c>
    </row>
    <row r="8" spans="1:42" ht="19" thickBot="1">
      <c r="R8" s="94"/>
      <c r="S8" s="184" t="s">
        <v>43</v>
      </c>
      <c r="T8" s="195"/>
      <c r="U8" s="207">
        <v>45968</v>
      </c>
      <c r="V8" s="208"/>
      <c r="W8" s="108" t="s">
        <v>128</v>
      </c>
      <c r="X8" s="184" t="s">
        <v>63</v>
      </c>
      <c r="Y8" s="184"/>
      <c r="Z8" s="195"/>
      <c r="AA8" s="103">
        <f>C34</f>
        <v>213</v>
      </c>
      <c r="AB8" s="94"/>
      <c r="AC8" s="94"/>
      <c r="AH8" s="41" t="str">
        <f>Listas!AI3</f>
        <v>Max</v>
      </c>
      <c r="AI8" s="42">
        <f>Listas!AJ3</f>
        <v>20000</v>
      </c>
      <c r="AJ8" s="40" t="str">
        <f>CONCATENATE(AH8," ",TEXT(AI8,"#,##"))</f>
        <v>Max 20,000</v>
      </c>
      <c r="AM8" s="40" t="s">
        <v>159</v>
      </c>
    </row>
    <row r="9" spans="1:42" ht="17.25" customHeight="1" thickBot="1">
      <c r="R9" s="94"/>
      <c r="S9" s="184" t="str">
        <f>IF(AND(Listas!A5=Listas!B3,Listas!H21=Listas!I15),"Primer Pago Grupal↓","Dia de Pago (Primer Pago)↓")</f>
        <v>Dia de Pago (Primer Pago)↓</v>
      </c>
      <c r="T9" s="184"/>
      <c r="U9" s="196" t="s">
        <v>100</v>
      </c>
      <c r="V9" s="197"/>
      <c r="W9" s="97"/>
      <c r="X9" s="98"/>
      <c r="Y9" s="94"/>
      <c r="Z9" s="94"/>
      <c r="AA9" s="94"/>
      <c r="AB9" s="94"/>
      <c r="AC9" s="94"/>
    </row>
    <row r="10" spans="1:42" ht="17.25" customHeight="1" thickBot="1">
      <c r="A10" s="40" t="s">
        <v>184</v>
      </c>
      <c r="B10" s="40" t="s">
        <v>182</v>
      </c>
      <c r="C10" s="40" t="s">
        <v>181</v>
      </c>
      <c r="D10" s="40" t="s">
        <v>183</v>
      </c>
      <c r="R10" s="94"/>
      <c r="S10" s="184" t="s">
        <v>165</v>
      </c>
      <c r="T10" s="184"/>
      <c r="U10" s="198" t="s">
        <v>142</v>
      </c>
      <c r="V10" s="190"/>
      <c r="X10" s="94"/>
      <c r="Y10" s="94"/>
      <c r="Z10" s="94"/>
      <c r="AA10" s="94"/>
      <c r="AB10" s="94"/>
      <c r="AC10" s="94"/>
      <c r="AH10" s="180" t="str">
        <f>Listas!AL1</f>
        <v>Rango de Tasas</v>
      </c>
      <c r="AI10" s="181"/>
      <c r="AJ10" s="43" t="s">
        <v>139</v>
      </c>
    </row>
    <row r="11" spans="1:42" ht="19" thickBot="1">
      <c r="R11" s="94"/>
      <c r="S11" s="183" t="s">
        <v>140</v>
      </c>
      <c r="T11" s="183"/>
      <c r="U11" s="187">
        <v>0.3</v>
      </c>
      <c r="V11" s="188"/>
      <c r="W11" s="97"/>
      <c r="X11" s="94"/>
      <c r="Y11" s="94"/>
      <c r="Z11" s="94"/>
      <c r="AA11" s="94"/>
      <c r="AB11" s="94"/>
      <c r="AC11" s="94"/>
      <c r="AH11" s="41" t="str">
        <f>Listas!AL2</f>
        <v>Min</v>
      </c>
      <c r="AI11" s="166">
        <f>Listas!AM2</f>
        <v>0.29880000000000001</v>
      </c>
      <c r="AJ11" s="167">
        <f>IF(Listas!AO5=Listas!AP3,Listas!AN2,'Simulador '!AI11)</f>
        <v>0.29880000000000001</v>
      </c>
      <c r="AK11" s="40" t="str">
        <f>CONCATENATE(AH11," ",TEXT(AJ11,"#.#####%"))</f>
        <v>Min 29.88%</v>
      </c>
    </row>
    <row r="12" spans="1:42" ht="17.25" customHeight="1" thickBot="1">
      <c r="B12" s="40" t="s">
        <v>120</v>
      </c>
      <c r="C12" s="40" t="str">
        <f>AM2</f>
        <v>EFECTIVO</v>
      </c>
      <c r="R12" s="94"/>
      <c r="S12" s="184" t="s">
        <v>166</v>
      </c>
      <c r="T12" s="184"/>
      <c r="U12" s="189" t="s">
        <v>92</v>
      </c>
      <c r="V12" s="190"/>
      <c r="W12" s="97"/>
      <c r="X12" s="94"/>
      <c r="Y12" s="94"/>
      <c r="Z12" s="94"/>
      <c r="AA12" s="94"/>
      <c r="AB12" s="94"/>
      <c r="AC12" s="94"/>
      <c r="AH12" s="41" t="str">
        <f>Listas!AL3</f>
        <v>Max</v>
      </c>
      <c r="AI12" s="166">
        <f>Listas!AM3</f>
        <v>1.1315999999999999</v>
      </c>
      <c r="AJ12" s="167">
        <f>IF(Listas!AO5=Listas!AP3,Listas!AN3,'Simulador '!AI12)</f>
        <v>1.1315999999999999</v>
      </c>
      <c r="AK12" s="40" t="str">
        <f>CONCATENATE(AH12," ",TEXT(AJ12,"#.######%"))</f>
        <v>Max 113.16%</v>
      </c>
    </row>
    <row r="13" spans="1:42" ht="17.25" customHeight="1" thickBot="1">
      <c r="B13" s="41" t="s">
        <v>102</v>
      </c>
      <c r="C13" s="41" t="str">
        <f>Listas!U8</f>
        <v>MENSUAL</v>
      </c>
      <c r="D13" s="41">
        <f>VLOOKUP(C13,Listas!$Y$2:$Z$4,2,FALSE)</f>
        <v>0</v>
      </c>
      <c r="R13" s="94"/>
      <c r="S13" s="184" t="s">
        <v>167</v>
      </c>
      <c r="T13" s="184"/>
      <c r="U13" s="189" t="s">
        <v>91</v>
      </c>
      <c r="V13" s="190"/>
      <c r="W13" s="97"/>
      <c r="X13" s="94"/>
      <c r="Y13" s="94"/>
      <c r="Z13" s="94"/>
      <c r="AA13" s="94"/>
      <c r="AB13" s="94"/>
      <c r="AC13" s="94"/>
    </row>
    <row r="14" spans="1:42" ht="17.25" customHeight="1" thickBot="1">
      <c r="B14" s="40" t="s">
        <v>70</v>
      </c>
      <c r="C14" s="40">
        <f>Listas!N24</f>
        <v>2</v>
      </c>
      <c r="R14" s="94"/>
      <c r="S14" s="184" t="s">
        <v>168</v>
      </c>
      <c r="T14" s="184"/>
      <c r="U14" s="189">
        <v>180</v>
      </c>
      <c r="V14" s="190"/>
      <c r="W14" s="97"/>
      <c r="X14" s="94"/>
      <c r="Y14" s="94"/>
      <c r="Z14" s="94"/>
      <c r="AA14" s="94"/>
      <c r="AB14" s="94"/>
      <c r="AC14" s="94"/>
      <c r="AH14" s="40" t="s">
        <v>143</v>
      </c>
    </row>
    <row r="15" spans="1:42" ht="15" thickBot="1">
      <c r="B15" s="5" t="s">
        <v>0</v>
      </c>
      <c r="C15" s="44"/>
      <c r="H15" s="45"/>
      <c r="I15" s="46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H15" s="41" t="s">
        <v>144</v>
      </c>
      <c r="AI15" s="41" t="str">
        <f>IF(AND(U6&gt;=AI7,U6&lt;=AI8),"",CONCATENATE("Revisar"," ",AH15," ",AJ7," ",AJ8))</f>
        <v/>
      </c>
    </row>
    <row r="16" spans="1:42" ht="15" thickBot="1">
      <c r="B16" s="5" t="s">
        <v>35</v>
      </c>
      <c r="C16" s="47">
        <v>5.0000000000000002E-5</v>
      </c>
      <c r="G16" s="46"/>
      <c r="R16" s="94"/>
      <c r="S16" s="150" t="s">
        <v>145</v>
      </c>
      <c r="T16" s="94"/>
      <c r="U16" s="94"/>
      <c r="V16" s="94"/>
      <c r="W16" s="94"/>
      <c r="X16" s="94"/>
      <c r="Y16" s="94"/>
      <c r="Z16" s="94"/>
      <c r="AA16" s="94"/>
      <c r="AB16" s="94"/>
      <c r="AC16" s="94"/>
      <c r="AH16" s="41" t="s">
        <v>11</v>
      </c>
      <c r="AI16" s="41" t="str">
        <f>IF(AND(U7&gt;=AI3,U7&lt;=AI4),"",CONCATENATE("Revisar"," ",AH16," ",AJ3," ",AJ4))</f>
        <v/>
      </c>
    </row>
    <row r="17" spans="2:41" ht="14.75" customHeight="1" thickBot="1">
      <c r="B17" s="5" t="s">
        <v>36</v>
      </c>
      <c r="C17" s="6">
        <f>C16*C33</f>
        <v>0</v>
      </c>
      <c r="D17" s="48"/>
      <c r="E17" s="40">
        <f>((1+C25)^(M114/30))*C20</f>
        <v>1852.8965366546936</v>
      </c>
      <c r="G17" s="46"/>
      <c r="R17" s="94"/>
      <c r="S17" s="99" t="str">
        <f>IFERROR(CONCATENATE(AI15," ",AI16," ",AI17," ",AI18),"Realice todos los cambios en los filtros")</f>
        <v xml:space="preserve">   "</v>
      </c>
      <c r="U17" s="99"/>
      <c r="V17" s="99"/>
      <c r="X17" s="99"/>
      <c r="Y17" s="99"/>
      <c r="Z17" s="99"/>
      <c r="AA17" s="99"/>
      <c r="AB17" s="178" t="s">
        <v>193</v>
      </c>
      <c r="AC17" s="94"/>
      <c r="AH17" s="41" t="str">
        <f>IF(U10="TEM (Tasa Efectiva Mensual)","Tasa elegida TEM","Tasa elegida TEA")</f>
        <v>Tasa elegida TEA</v>
      </c>
      <c r="AI17" s="41" t="str">
        <f>IF(AND(U11&gt;=AJ11,U11&lt;=AJ12),"",CONCATENATE("Revisar"," ",AH17," ",AK11," ",AK12))</f>
        <v/>
      </c>
    </row>
    <row r="18" spans="2:41" hidden="1">
      <c r="B18" s="5" t="s">
        <v>2</v>
      </c>
      <c r="C18" s="49">
        <f>U6</f>
        <v>1500</v>
      </c>
      <c r="G18" s="46"/>
      <c r="H18" s="50"/>
      <c r="R18" s="94"/>
      <c r="S18" s="3"/>
      <c r="T18" s="3"/>
      <c r="U18" s="3"/>
      <c r="V18" s="3"/>
      <c r="W18" s="3"/>
      <c r="X18" s="3"/>
      <c r="Y18" s="3"/>
      <c r="Z18" s="3"/>
      <c r="AA18" s="3"/>
      <c r="AB18" s="3"/>
      <c r="AC18" s="94"/>
      <c r="AH18" s="40" t="s">
        <v>157</v>
      </c>
      <c r="AI18" s="113" t="str">
        <f>IF(AND(Listas!A5=Listas!B3,Listas!K6=Listas!L5),"Seguro Desgravamen con devolución no aplica a CREDITO GRUPAL",IF(AND(Listas!A5=Listas!B2,Listas!K6=Listas!L5,L114&lt;720),"Seguro Desgravamen con devolución aplica plazo mayor a 2 años",IF(C14=0,"Revisar de Pago","""")))</f>
        <v>"</v>
      </c>
    </row>
    <row r="19" spans="2:41" hidden="1">
      <c r="B19" s="5" t="s">
        <v>33</v>
      </c>
      <c r="C19" s="49">
        <v>0</v>
      </c>
      <c r="R19" s="94"/>
      <c r="S19" s="3"/>
      <c r="T19" s="3"/>
      <c r="U19" s="3"/>
      <c r="V19" s="3"/>
      <c r="W19" s="3"/>
      <c r="X19" s="3"/>
      <c r="Y19" s="3"/>
      <c r="Z19" s="3"/>
      <c r="AA19" s="3"/>
      <c r="AB19" s="3"/>
      <c r="AC19" s="94"/>
      <c r="AO19" s="50"/>
    </row>
    <row r="20" spans="2:41" hidden="1">
      <c r="B20" s="5" t="s">
        <v>32</v>
      </c>
      <c r="C20" s="51">
        <f>SUM(C18:C19)</f>
        <v>1500</v>
      </c>
      <c r="R20" s="94"/>
      <c r="S20" s="3"/>
      <c r="T20" s="3"/>
      <c r="U20" s="3"/>
      <c r="V20" s="3"/>
      <c r="W20" s="3"/>
      <c r="X20" s="3"/>
      <c r="Y20" s="3"/>
      <c r="Z20" s="3"/>
      <c r="AA20" s="3"/>
      <c r="AB20" s="3"/>
      <c r="AC20" s="94"/>
      <c r="AO20" s="50"/>
    </row>
    <row r="21" spans="2:41" hidden="1">
      <c r="B21" s="5" t="s">
        <v>3</v>
      </c>
      <c r="C21" s="44">
        <f>U7</f>
        <v>8</v>
      </c>
      <c r="R21" s="94"/>
      <c r="S21" s="3"/>
      <c r="T21" s="3"/>
      <c r="U21" s="3"/>
      <c r="V21" s="3"/>
      <c r="W21" s="3"/>
      <c r="X21" s="3"/>
      <c r="Y21" s="3"/>
      <c r="Z21" s="3"/>
      <c r="AA21" s="3"/>
      <c r="AB21" s="3"/>
      <c r="AC21" s="94"/>
      <c r="AO21" s="50"/>
    </row>
    <row r="22" spans="2:41" ht="74.5" hidden="1" thickBot="1">
      <c r="B22" s="5" t="s">
        <v>4</v>
      </c>
      <c r="C22" s="52">
        <f>AA4</f>
        <v>0.3</v>
      </c>
      <c r="D22" s="40" t="s">
        <v>39</v>
      </c>
      <c r="H22" s="40" t="s">
        <v>172</v>
      </c>
      <c r="I22" s="129">
        <v>2089</v>
      </c>
      <c r="J22" s="129">
        <v>2769</v>
      </c>
      <c r="K22" s="129">
        <v>4863</v>
      </c>
      <c r="N22" s="40">
        <v>705</v>
      </c>
      <c r="R22" s="94"/>
      <c r="S22" s="3"/>
      <c r="T22" s="3"/>
      <c r="U22" s="3"/>
      <c r="V22" s="3"/>
      <c r="W22" s="3"/>
      <c r="X22" s="3"/>
      <c r="Y22" s="3"/>
      <c r="Z22" s="3"/>
      <c r="AA22" s="3"/>
      <c r="AB22" s="3"/>
      <c r="AC22" s="94"/>
      <c r="AH22" s="53" t="s">
        <v>73</v>
      </c>
      <c r="AI22" s="53" t="s">
        <v>139</v>
      </c>
      <c r="AJ22" s="53" t="s">
        <v>138</v>
      </c>
      <c r="AK22" s="53" t="s">
        <v>155</v>
      </c>
    </row>
    <row r="23" spans="2:41" ht="32.5" hidden="1" thickBot="1">
      <c r="B23" s="5" t="s">
        <v>7</v>
      </c>
      <c r="C23" s="128">
        <f>IF(C12=C10,0,IF(AA6="No Aplica",0,AA6))</f>
        <v>1.5E-3</v>
      </c>
      <c r="D23" s="154">
        <f>(1+(C23*(L116/L115)*(360/L115)))^(30/360)-1</f>
        <v>1.7387424806176721E-3</v>
      </c>
      <c r="E23" s="50">
        <v>5.0000000000000001E-3</v>
      </c>
      <c r="F23" s="50">
        <v>8.8000000000000003E-4</v>
      </c>
      <c r="G23" s="48">
        <f>(1+(C23*(365/L115)))^(1/12)-1</f>
        <v>1.3468552895559149E-3</v>
      </c>
      <c r="I23" s="125">
        <v>2089.4012197886154</v>
      </c>
      <c r="J23" s="125">
        <v>2769.480528085357</v>
      </c>
      <c r="K23" s="125">
        <v>4862.8964136671248</v>
      </c>
      <c r="R23" s="94"/>
      <c r="S23" s="3"/>
      <c r="T23" s="3"/>
      <c r="U23" s="3"/>
      <c r="V23" s="3"/>
      <c r="W23" s="3"/>
      <c r="X23" s="3"/>
      <c r="Y23" s="3"/>
      <c r="Z23" s="3"/>
      <c r="AA23" s="3"/>
      <c r="AB23" s="3"/>
      <c r="AC23" s="94"/>
      <c r="AH23" s="54" t="s">
        <v>75</v>
      </c>
      <c r="AI23" s="55">
        <v>5000</v>
      </c>
      <c r="AJ23" s="56">
        <v>1.5E-3</v>
      </c>
      <c r="AK23" s="56">
        <v>3.3019999999999998E-3</v>
      </c>
      <c r="AM23" s="50"/>
    </row>
    <row r="24" spans="2:41" ht="48.5" hidden="1" thickBot="1">
      <c r="B24" s="5" t="s">
        <v>5</v>
      </c>
      <c r="C24" s="162">
        <f>IF(Listas!AO5=Listas!AP3,U11,(1+U11)^(1/12)-1)</f>
        <v>2.2104450593615876E-2</v>
      </c>
      <c r="H24" s="40" t="s">
        <v>172</v>
      </c>
      <c r="I24" s="125">
        <f t="shared" ref="I24:J24" si="0">I23-I22</f>
        <v>0.40121978861543539</v>
      </c>
      <c r="J24" s="125">
        <f t="shared" si="0"/>
        <v>0.48052808535703662</v>
      </c>
      <c r="K24" s="125">
        <f>K23-K22</f>
        <v>-0.10358633287523844</v>
      </c>
      <c r="R24" s="94"/>
      <c r="S24" s="3"/>
      <c r="T24" s="3"/>
      <c r="U24" s="3"/>
      <c r="V24" s="3"/>
      <c r="W24" s="3"/>
      <c r="X24" s="3"/>
      <c r="Y24" s="3"/>
      <c r="Z24" s="3"/>
      <c r="AA24" s="3"/>
      <c r="AB24" s="3"/>
      <c r="AC24" s="94"/>
      <c r="AH24" s="54" t="s">
        <v>76</v>
      </c>
      <c r="AI24" s="55">
        <v>20000</v>
      </c>
      <c r="AJ24" s="56">
        <v>1.2999999999999999E-3</v>
      </c>
      <c r="AK24" s="56">
        <v>2.862E-3</v>
      </c>
    </row>
    <row r="25" spans="2:41" ht="48.5" hidden="1" thickBot="1">
      <c r="B25" s="5" t="s">
        <v>6</v>
      </c>
      <c r="C25" s="161">
        <f>C24+D23</f>
        <v>2.3843193074233549E-2</v>
      </c>
      <c r="D25" s="45"/>
      <c r="F25" s="48"/>
      <c r="I25" s="40">
        <v>36</v>
      </c>
      <c r="J25" s="40">
        <v>24</v>
      </c>
      <c r="K25" s="40">
        <v>12</v>
      </c>
      <c r="R25" s="94"/>
      <c r="S25" s="3"/>
      <c r="T25" s="3"/>
      <c r="U25" s="3"/>
      <c r="V25" s="3"/>
      <c r="W25" s="3"/>
      <c r="X25" s="3"/>
      <c r="Y25" s="3"/>
      <c r="Z25" s="3"/>
      <c r="AA25" s="3"/>
      <c r="AB25" s="3"/>
      <c r="AC25" s="94"/>
      <c r="AH25" s="54" t="s">
        <v>77</v>
      </c>
      <c r="AI25" s="55"/>
      <c r="AJ25" s="56">
        <v>1.1000000000000001E-3</v>
      </c>
      <c r="AK25" s="56">
        <v>2.4220000000000001E-3</v>
      </c>
    </row>
    <row r="26" spans="2:41" ht="15" hidden="1" thickBot="1">
      <c r="B26" s="5" t="s">
        <v>38</v>
      </c>
      <c r="C26" s="58">
        <f>IFERROR(AP117,"Recalcular")</f>
        <v>0.32537930365908974</v>
      </c>
      <c r="D26" s="48"/>
      <c r="R26" s="94"/>
      <c r="S26" s="3"/>
      <c r="T26" s="3"/>
      <c r="U26" s="3"/>
      <c r="V26" s="3"/>
      <c r="W26" s="3"/>
      <c r="X26" s="3"/>
      <c r="Y26" s="3"/>
      <c r="Z26" s="3"/>
      <c r="AA26" s="3"/>
      <c r="AB26" s="3"/>
      <c r="AC26" s="94"/>
    </row>
    <row r="27" spans="2:41" ht="37.5" hidden="1" thickBot="1">
      <c r="B27" s="59" t="s">
        <v>107</v>
      </c>
      <c r="C27" s="40">
        <f>IF(C12=$C$10,0,Listas!AB12)</f>
        <v>0</v>
      </c>
      <c r="D27" s="40">
        <f>IF(C27=0,1,(C27/30)+1)</f>
        <v>1</v>
      </c>
      <c r="F27" s="113"/>
      <c r="I27" s="130">
        <v>2074</v>
      </c>
      <c r="J27" s="130">
        <v>2749</v>
      </c>
      <c r="K27" s="130">
        <v>4828</v>
      </c>
      <c r="R27" s="94"/>
      <c r="S27" s="3"/>
      <c r="T27" s="3"/>
      <c r="U27" s="3"/>
      <c r="V27" s="3"/>
      <c r="W27" s="3"/>
      <c r="X27" s="3"/>
      <c r="Y27" s="3"/>
      <c r="Z27" s="3"/>
      <c r="AA27" s="3"/>
      <c r="AB27" s="3"/>
      <c r="AC27" s="94"/>
      <c r="AH27" s="60"/>
      <c r="AI27" s="53" t="s">
        <v>74</v>
      </c>
      <c r="AJ27" s="60"/>
    </row>
    <row r="28" spans="2:41" ht="16" hidden="1" thickBot="1">
      <c r="B28" s="61" t="s">
        <v>8</v>
      </c>
      <c r="C28" s="62">
        <f>((1+C25)^(M114/30))*C20</f>
        <v>1852.8965366546936</v>
      </c>
      <c r="D28" s="62">
        <f>((1+C24)^(L114/30))*C20</f>
        <v>1824.8713964178874</v>
      </c>
      <c r="E28" s="48"/>
      <c r="I28" s="125">
        <v>2074.4272806927625</v>
      </c>
      <c r="J28" s="125">
        <v>2750.0195227419813</v>
      </c>
      <c r="K28" s="125">
        <v>4828.9104309687518</v>
      </c>
      <c r="L28" s="124">
        <f>K28-G29</f>
        <v>4828.9104309687518</v>
      </c>
      <c r="M28" s="124"/>
      <c r="R28" s="94"/>
      <c r="S28" s="3"/>
      <c r="T28" s="3"/>
      <c r="U28" s="3"/>
      <c r="V28" s="3"/>
      <c r="W28" s="3"/>
      <c r="X28" s="3"/>
      <c r="Y28" s="3"/>
      <c r="Z28" s="3"/>
      <c r="AA28" s="3"/>
      <c r="AB28" s="3"/>
      <c r="AC28" s="94"/>
      <c r="AH28" s="60" t="s">
        <v>90</v>
      </c>
      <c r="AI28" s="63">
        <v>4.0000000000000001E-3</v>
      </c>
      <c r="AJ28" s="60"/>
    </row>
    <row r="29" spans="2:41" ht="16" hidden="1" thickBot="1">
      <c r="B29" s="61" t="s">
        <v>25</v>
      </c>
      <c r="C29" s="62">
        <f>C28/O114</f>
        <v>212.56301952415961</v>
      </c>
      <c r="D29" s="62">
        <f>D28/P114</f>
        <v>3.7281033532757295</v>
      </c>
      <c r="E29" s="48"/>
      <c r="F29" s="48"/>
      <c r="G29" s="48"/>
      <c r="I29" s="125">
        <f>I28-I27</f>
        <v>0.42728069276245151</v>
      </c>
      <c r="J29" s="125">
        <f>J28-J27</f>
        <v>1.0195227419812909</v>
      </c>
      <c r="K29" s="125">
        <f>K28-K27</f>
        <v>0.91043096875182528</v>
      </c>
      <c r="R29" s="94"/>
      <c r="S29" s="3"/>
      <c r="T29" s="3"/>
      <c r="U29" s="3"/>
      <c r="V29" s="3"/>
      <c r="W29" s="3"/>
      <c r="X29" s="3"/>
      <c r="Y29" s="3"/>
      <c r="Z29" s="3"/>
      <c r="AA29" s="3"/>
      <c r="AB29" s="3"/>
      <c r="AC29" s="94"/>
      <c r="AH29" s="60" t="s">
        <v>91</v>
      </c>
      <c r="AI29" s="63">
        <v>6.45E-3</v>
      </c>
      <c r="AJ29" s="60"/>
    </row>
    <row r="30" spans="2:41" ht="16" hidden="1" thickBot="1">
      <c r="B30" s="61" t="s">
        <v>26</v>
      </c>
      <c r="C30" s="62">
        <f>INT(C29/1000)*1000</f>
        <v>0</v>
      </c>
      <c r="R30" s="94"/>
      <c r="S30" s="3"/>
      <c r="T30" s="3"/>
      <c r="U30" s="3"/>
      <c r="V30" s="3"/>
      <c r="W30" s="3"/>
      <c r="X30" s="3"/>
      <c r="Y30" s="3"/>
      <c r="Z30" s="3"/>
      <c r="AA30" s="3"/>
      <c r="AB30" s="3"/>
      <c r="AC30" s="94"/>
      <c r="AH30" s="60"/>
      <c r="AI30" s="55"/>
      <c r="AJ30" s="60"/>
    </row>
    <row r="31" spans="2:41" ht="16.5" hidden="1" thickBot="1">
      <c r="B31" s="64" t="s">
        <v>27</v>
      </c>
      <c r="C31" s="65">
        <f>IF((C29-INT(C29))&gt;=0.5,0.5+INT(C29),INT(C29))</f>
        <v>212.5</v>
      </c>
      <c r="F31" s="44"/>
      <c r="G31" s="40" t="s">
        <v>34</v>
      </c>
      <c r="R31" s="94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94"/>
      <c r="AH31" s="60" t="s">
        <v>80</v>
      </c>
      <c r="AI31" s="91">
        <v>6.45E-3</v>
      </c>
      <c r="AJ31" s="60"/>
    </row>
    <row r="32" spans="2:41" hidden="1">
      <c r="B32" s="66" t="s">
        <v>24</v>
      </c>
      <c r="C32" s="67">
        <f>C29</f>
        <v>212.56301952415961</v>
      </c>
      <c r="E32" s="48"/>
      <c r="F32" s="68"/>
      <c r="G32" s="40" t="s">
        <v>30</v>
      </c>
      <c r="R32" s="94"/>
      <c r="S32" s="3"/>
      <c r="T32" s="3"/>
      <c r="U32" s="3"/>
      <c r="V32" s="3"/>
      <c r="W32" s="3"/>
      <c r="X32" s="3"/>
      <c r="Y32" s="3"/>
      <c r="Z32" s="3"/>
      <c r="AA32" s="3"/>
      <c r="AB32" s="3"/>
      <c r="AC32" s="94"/>
    </row>
    <row r="33" spans="1:54" hidden="1">
      <c r="B33" s="66" t="s">
        <v>26</v>
      </c>
      <c r="C33" s="67">
        <f>INT(C32/1000)*1000</f>
        <v>0</v>
      </c>
      <c r="D33" s="69"/>
      <c r="F33" s="70"/>
      <c r="G33" s="40" t="s">
        <v>31</v>
      </c>
      <c r="R33" s="94"/>
      <c r="S33" s="3"/>
      <c r="T33" s="3"/>
      <c r="U33" s="3"/>
      <c r="V33" s="3"/>
      <c r="W33" s="3"/>
      <c r="X33" s="3"/>
      <c r="Y33" s="3"/>
      <c r="Z33" s="3"/>
      <c r="AA33" s="3"/>
      <c r="AB33" s="3"/>
      <c r="AC33" s="94"/>
    </row>
    <row r="34" spans="1:54" hidden="1">
      <c r="B34" s="66" t="s">
        <v>27</v>
      </c>
      <c r="C34" s="67">
        <f>ROUND(C32,0)</f>
        <v>213</v>
      </c>
      <c r="D34" s="69"/>
      <c r="R34" s="94"/>
      <c r="S34" s="3"/>
      <c r="T34" s="3"/>
      <c r="U34" s="3"/>
      <c r="V34" s="3"/>
      <c r="W34" s="3"/>
      <c r="X34" s="3"/>
      <c r="Y34" s="3"/>
      <c r="Z34" s="3"/>
      <c r="AA34" s="3"/>
      <c r="AB34" s="3"/>
      <c r="AC34" s="94"/>
    </row>
    <row r="35" spans="1:54" hidden="1">
      <c r="R35" s="94"/>
      <c r="S35" s="3"/>
      <c r="T35" s="3"/>
      <c r="U35" s="3"/>
      <c r="V35" s="3"/>
      <c r="W35" s="3"/>
      <c r="X35" s="3"/>
      <c r="Y35" s="3"/>
      <c r="Z35" s="3"/>
      <c r="AA35" s="3"/>
      <c r="AB35" s="3"/>
      <c r="AC35" s="94"/>
    </row>
    <row r="36" spans="1:54" hidden="1">
      <c r="E36" s="71">
        <v>44494</v>
      </c>
      <c r="F36" s="40">
        <f>WEEKDAY(E36)</f>
        <v>2</v>
      </c>
      <c r="R36" s="94"/>
      <c r="S36" s="3"/>
      <c r="T36" s="3"/>
      <c r="U36" s="3"/>
      <c r="V36" s="3"/>
      <c r="W36" s="3"/>
      <c r="X36" s="3"/>
      <c r="Y36" s="3"/>
      <c r="Z36" s="3"/>
      <c r="AA36" s="3"/>
      <c r="AB36" s="3"/>
      <c r="AC36" s="94"/>
    </row>
    <row r="37" spans="1:54" hidden="1">
      <c r="C37" s="69"/>
      <c r="D37" s="69"/>
      <c r="R37" s="94"/>
      <c r="S37" s="3"/>
      <c r="T37" s="3"/>
      <c r="U37" s="3"/>
      <c r="V37" s="3"/>
      <c r="W37" s="3"/>
      <c r="X37" s="3"/>
      <c r="Y37" s="3"/>
      <c r="Z37" s="3"/>
      <c r="AA37" s="3"/>
      <c r="AB37" s="3"/>
      <c r="AC37" s="94"/>
    </row>
    <row r="38" spans="1:54" ht="8.4" customHeight="1">
      <c r="B38" s="40" t="s">
        <v>29</v>
      </c>
      <c r="F38" s="40">
        <f>WEEKDAY(C41+14)</f>
        <v>6</v>
      </c>
      <c r="H38" s="40" t="e" cm="1">
        <f t="array" ref="H38">DI</f>
        <v>#NAME?</v>
      </c>
      <c r="R38" s="94"/>
      <c r="S38" s="3"/>
      <c r="T38" s="3"/>
      <c r="U38" s="3"/>
      <c r="V38" s="3"/>
      <c r="W38" s="3"/>
      <c r="X38" s="3"/>
      <c r="Y38" s="3"/>
      <c r="Z38" s="3"/>
      <c r="AA38" s="3"/>
      <c r="AB38" s="3"/>
      <c r="AC38" s="94"/>
    </row>
    <row r="39" spans="1:54" ht="34.5" customHeight="1">
      <c r="D39" s="177"/>
      <c r="F39" s="72"/>
      <c r="R39" s="94"/>
      <c r="S39" s="193" t="s">
        <v>66</v>
      </c>
      <c r="T39" s="193"/>
      <c r="U39" s="193"/>
      <c r="V39" s="193"/>
      <c r="W39" s="193"/>
      <c r="X39" s="193"/>
      <c r="Y39" s="193"/>
      <c r="Z39" s="193"/>
      <c r="AA39" s="193"/>
      <c r="AB39" s="193"/>
      <c r="AC39" s="94"/>
    </row>
    <row r="40" spans="1:54" ht="51" customHeight="1">
      <c r="A40" s="73" t="s">
        <v>10</v>
      </c>
      <c r="B40" s="73" t="s">
        <v>11</v>
      </c>
      <c r="C40" s="73" t="s">
        <v>12</v>
      </c>
      <c r="D40" s="74" t="s">
        <v>13</v>
      </c>
      <c r="E40" s="74" t="s">
        <v>14</v>
      </c>
      <c r="F40" s="74" t="s">
        <v>15</v>
      </c>
      <c r="G40" s="74" t="s">
        <v>16</v>
      </c>
      <c r="H40" s="74" t="s">
        <v>1</v>
      </c>
      <c r="I40" s="74" t="s">
        <v>9</v>
      </c>
      <c r="J40" s="74" t="s">
        <v>0</v>
      </c>
      <c r="K40" s="75" t="s">
        <v>171</v>
      </c>
      <c r="L40" s="75" t="s">
        <v>186</v>
      </c>
      <c r="M40" s="75" t="s">
        <v>185</v>
      </c>
      <c r="N40" s="75" t="s">
        <v>18</v>
      </c>
      <c r="O40" s="75" t="s">
        <v>19</v>
      </c>
      <c r="P40" s="75"/>
      <c r="Q40" s="75" t="s">
        <v>20</v>
      </c>
      <c r="R40" s="94"/>
      <c r="S40" s="182" t="s">
        <v>150</v>
      </c>
      <c r="T40" s="182"/>
      <c r="U40" s="107" t="s">
        <v>11</v>
      </c>
      <c r="V40" s="107" t="s">
        <v>64</v>
      </c>
      <c r="W40" s="107" t="s">
        <v>16</v>
      </c>
      <c r="X40" s="107" t="s">
        <v>65</v>
      </c>
      <c r="Y40" s="107" t="s">
        <v>44</v>
      </c>
      <c r="Z40" s="107" t="s">
        <v>63</v>
      </c>
      <c r="AA40" s="107" t="s">
        <v>1</v>
      </c>
      <c r="AB40" s="107" t="s">
        <v>151</v>
      </c>
      <c r="AC40" s="94"/>
      <c r="AG40" s="76" t="s">
        <v>17</v>
      </c>
      <c r="AH40" s="76" t="s">
        <v>18</v>
      </c>
      <c r="AI40" s="76" t="s">
        <v>20</v>
      </c>
      <c r="AL40" s="73" t="s">
        <v>12</v>
      </c>
      <c r="AP40" s="74" t="s">
        <v>9</v>
      </c>
      <c r="AQ40" s="74" t="s">
        <v>0</v>
      </c>
    </row>
    <row r="41" spans="1:54">
      <c r="A41" s="77">
        <f>C41</f>
        <v>45968</v>
      </c>
      <c r="B41" s="5">
        <v>0</v>
      </c>
      <c r="C41" s="71">
        <f>U8</f>
        <v>45968</v>
      </c>
      <c r="D41" s="4">
        <f>C20</f>
        <v>1500</v>
      </c>
      <c r="E41" s="5"/>
      <c r="F41" s="5"/>
      <c r="G41" s="5"/>
      <c r="H41" s="5"/>
      <c r="I41" s="5"/>
      <c r="J41" s="5"/>
      <c r="L41" s="5"/>
      <c r="M41" s="5"/>
      <c r="N41" s="5">
        <f>M114</f>
        <v>269</v>
      </c>
      <c r="O41" s="5"/>
      <c r="P41" s="5"/>
      <c r="Q41" s="5"/>
      <c r="R41" s="94"/>
      <c r="S41" s="185">
        <f t="shared" ref="S41:S53" si="1">IF(A41=0,"",A41)</f>
        <v>45968</v>
      </c>
      <c r="T41" s="185"/>
      <c r="U41" s="143">
        <v>0</v>
      </c>
      <c r="V41" s="144">
        <f>C20</f>
        <v>1500</v>
      </c>
      <c r="W41" s="145"/>
      <c r="X41" s="145"/>
      <c r="Y41" s="145"/>
      <c r="Z41" s="146">
        <f>V41</f>
        <v>1500</v>
      </c>
      <c r="AA41" s="145"/>
      <c r="AB41" s="145"/>
      <c r="AC41" s="109" t="str">
        <f>IF(U41="","1","")</f>
        <v/>
      </c>
      <c r="AG41" s="5"/>
      <c r="AH41" s="5">
        <f>L114</f>
        <v>269</v>
      </c>
      <c r="AI41" s="5"/>
      <c r="AL41" s="77">
        <f t="shared" ref="AL41:AL72" si="2">IF(S41="",0,IF(S41="Total",0,S41))</f>
        <v>45968</v>
      </c>
      <c r="AN41" s="78"/>
      <c r="AP41" s="6">
        <f>IF(S41="Total","",IF(S41="","",-V41))</f>
        <v>-1500</v>
      </c>
      <c r="AQ41" s="5"/>
      <c r="AR41" s="79"/>
      <c r="AS41" s="79"/>
    </row>
    <row r="42" spans="1:54">
      <c r="A42" s="77">
        <f>IF(IFERROR(VLOOKUP(C42,Listas!AT:AV,3,FALSE),0)=1,IF(WEEKDAY(C42+1)=7,C42+2,C42+1),C42)</f>
        <v>46024</v>
      </c>
      <c r="B42" s="5">
        <v>1</v>
      </c>
      <c r="C42" s="80">
        <f>IF(Listas!$I$21=Listas!$I$17,IF(WEEKDAY(C41+$C$14)=1,C41+$C$14+1,C41+$C$14),IF(B42&lt;=$C$21,IF((DATE(YEAR(C41),MONTH(C41)+D27,DAY($C$14))-C41)&gt;=27,IF(WEEKDAY(DATE(YEAR(C41),MONTH(C41)+D27,DAY($C$14)))=1,DATE(YEAR(C41),MONTH(C41)+D27,DAY($C$14)+1),DATE(YEAR(C41),MONTH(C41)+D27,DAY($C$14))),DATE(YEAR(C41),MONTH(C41)+D27+1,DAY($C$14))),""))</f>
        <v>46024</v>
      </c>
      <c r="D42" s="6">
        <f>IF(B42&lt;=$C$21,D41-G42,"")</f>
        <v>1354.4169804758403</v>
      </c>
      <c r="E42" s="4">
        <f t="shared" ref="E42:E101" si="3">IFERROR(ROUND(((1+$C$24)^(L42/30)-1)*D41,2),"")</f>
        <v>62.48</v>
      </c>
      <c r="F42" s="4">
        <f>IF($C$23=0,0,IF(OR(Listas!$K$6=Listas!$L$3,Listas!$K$6=Listas!$L$4),0,IF($C$23="",0,IF(Listas!$D$5=Listas!$C$3,ROUND(IF(B42&lt;=$C$21,IF(ROUND((D41/$T$120)*$C$23*Q42,2)&lt;(1/$T$120),ROUND((1/$T$120),2),ROUND((D41/$T$120)*$C$23,2)*Q42),0),2),IF(Listas!$D$5=Listas!$C$2,ROUND(IF(B42&lt;=$C$21,IF(ROUND(D41*$C$23*Q42,2)&lt;1,1,ROUND(D41*$C$23,2)*Q42),0),2))))))</f>
        <v>4.5</v>
      </c>
      <c r="G42" s="6">
        <f>IF($C$12=$C$10,0,IF(B42&gt;$C$21,D41,I42-E42-F42-H42))</f>
        <v>145.58301952415962</v>
      </c>
      <c r="H42" s="6"/>
      <c r="I42" s="153">
        <f>IF($C$12=$C$10,SUM(E42:G42),IF(B42&lt;=$C$21,$C$32,0))</f>
        <v>212.56301952415961</v>
      </c>
      <c r="J42" s="5">
        <f t="shared" ref="J42:J101" si="4">IF(B42&lt;=$C$21,$C$15,0)</f>
        <v>0</v>
      </c>
      <c r="K42" s="126">
        <f>L42*Q42</f>
        <v>112</v>
      </c>
      <c r="L42" s="151">
        <f t="shared" ref="L42:L101" si="5">IF(B42&lt;=$C$21,A42-A41,0)</f>
        <v>56</v>
      </c>
      <c r="M42" s="151">
        <f>IF($C$12=$C$10,0,IF(B42&lt;=$C$21,A42-A41,0))</f>
        <v>56</v>
      </c>
      <c r="N42" s="5">
        <f>N41-M42</f>
        <v>213</v>
      </c>
      <c r="O42" s="152">
        <f>IF($C$12=$C$10,0,IF(B42&lt;=$C$21,ROUND((1+$C$25)^(N42/30),6),0))</f>
        <v>1.1821090000000001</v>
      </c>
      <c r="P42" s="81">
        <f>IF(B42&lt;=$C$21,ROUND((1+$C$24)^(N42/30),8),0)*K42*Q42</f>
        <v>261.61612064000002</v>
      </c>
      <c r="Q42" s="82">
        <f>IF(Listas!$H$21=Listas!$I$15,1,IF(B42&lt;=$C$21,ROUND((EOMONTH(A42,0)-EOMONTH(A41,0))/30,0),0))</f>
        <v>2</v>
      </c>
      <c r="R42" s="94"/>
      <c r="S42" s="185">
        <f t="shared" si="1"/>
        <v>46024</v>
      </c>
      <c r="T42" s="185"/>
      <c r="U42" s="143">
        <f t="shared" ref="U42:U54" si="6">IF(C42="","",B42)</f>
        <v>1</v>
      </c>
      <c r="V42" s="146">
        <f t="shared" ref="V42:V53" si="7">IF(U42&lt;=$C$21,V41-W42,0)</f>
        <v>1353.98</v>
      </c>
      <c r="W42" s="146">
        <f>IF($C$12=$C$10,0,IF(U42=$C$21,V41,Z42-X42-Y42))</f>
        <v>146.02000000000001</v>
      </c>
      <c r="X42" s="144">
        <f t="shared" ref="X42:X53" si="8">ROUND(((1+$C$24)^(AG42/30)-1)*V41,2)</f>
        <v>62.48</v>
      </c>
      <c r="Y42" s="144">
        <f>IF($C$23=0,0,IF(OR(Listas!$K$6=Listas!$L$3,Listas!$K$6=Listas!$L$4),0,IF($C$23="",0,IF(Listas!$D$5=Listas!$C$3,ROUND(IF(U42&lt;=$C$21,IF(ROUND((V41/$T$120)*$C$23*AI42,2)&lt;(1/$T$120),ROUND((1/$T$120),2),ROUND((V41/$T$120)*$C$23,2)*AI42),0),2),IF(Listas!$D$5=Listas!$C$2,ROUND(IF(U42&lt;=$C$21,IF(ROUND(V41*$C$23*AI42,2)&lt;1,1,ROUND(V41*$C$23,2)*AI42),0),2))))))</f>
        <v>4.5</v>
      </c>
      <c r="Z42" s="146">
        <f t="shared" ref="Z42:Z47" si="9">IF($C$12=$C$10,SUM(W42:Y42),IF(U42=$C$21,SUM(W42,X42,Y42,AQ42),IF(U42&lt;$C$21,$C$34,0)))</f>
        <v>213</v>
      </c>
      <c r="AA42" s="146">
        <f>IF(Z42&lt;1000,0,IF(U42&lt;=$C$21,$C$17,0))</f>
        <v>0</v>
      </c>
      <c r="AB42" s="146">
        <f t="shared" ref="AB42:AB73" si="10">SUM(Z42:AA42)</f>
        <v>213</v>
      </c>
      <c r="AC42" s="109"/>
      <c r="AD42" s="110"/>
      <c r="AG42" s="5">
        <f t="shared" ref="AG42:AG73" si="11">IF(U42&lt;=$C$21,S42-S41,0)</f>
        <v>56</v>
      </c>
      <c r="AH42" s="5">
        <f t="shared" ref="AH42:AH101" si="12">AH41-AG42</f>
        <v>213</v>
      </c>
      <c r="AI42" s="82">
        <f>IF(Listas!$H$21=Listas!$I$17,1,IF(U42&lt;=$C$21,ROUND((EOMONTH(S42,0)-EOMONTH(S41,0))/30,0),0))</f>
        <v>2</v>
      </c>
      <c r="AL42" s="77">
        <f t="shared" si="2"/>
        <v>46024</v>
      </c>
      <c r="AN42" s="79"/>
      <c r="AP42" s="6">
        <f t="shared" ref="AP42:AP73" si="13">IF(S42="Total",0,IF(S42="",0,Z42))</f>
        <v>213</v>
      </c>
      <c r="AQ42" s="5">
        <f t="shared" ref="AQ42:AQ73" si="14">IF(U42&lt;=$C$21,$C$15,0)</f>
        <v>0</v>
      </c>
      <c r="AR42" s="79"/>
      <c r="AS42" s="79"/>
      <c r="AU42" s="83">
        <v>44501</v>
      </c>
      <c r="AV42" s="79">
        <v>1</v>
      </c>
      <c r="AW42" s="78">
        <v>1000</v>
      </c>
      <c r="AX42" s="79">
        <v>0</v>
      </c>
      <c r="AY42" s="79">
        <v>0</v>
      </c>
      <c r="AZ42" s="79">
        <v>0</v>
      </c>
      <c r="BA42" s="79">
        <v>0</v>
      </c>
      <c r="BB42" s="79">
        <v>0</v>
      </c>
    </row>
    <row r="43" spans="1:54">
      <c r="A43" s="77">
        <f>IF(IFERROR(VLOOKUP(C43,Listas!AT:AV,3,FALSE),0)=1,IF(WEEKDAY(C43+1)=7,C43+2,C43+1),C43)</f>
        <v>46055</v>
      </c>
      <c r="B43" s="5">
        <v>2</v>
      </c>
      <c r="C43" s="80">
        <f>IF(Listas!$I$21=Listas!$I$17,IF(WEEKDAY(C42+$D$13)=1,C42+$D$13+1,C42+$D$13),IF(B43&lt;=$C$21,IF((DATE(YEAR(C42),MONTH(C42)+1,DAY($C$14))-C42)&gt;=27,IF(WEEKDAY(DATE(YEAR(C42),MONTH(C42)+1,DAY($C$14)))=1,DATE(YEAR(C42),MONTH(C42)+1,DAY($C$14)+1),DATE(YEAR(C42),MONTH(C42)+1,DAY($C$14))),DATE(YEAR(C42),MONTH(C42)+2,DAY($C$14))),""))</f>
        <v>46055</v>
      </c>
      <c r="D43" s="6">
        <f t="shared" ref="D43:D101" si="15">IF(B43&lt;=$C$21,D42-G43,"")</f>
        <v>1174.8339609516806</v>
      </c>
      <c r="E43" s="4">
        <f t="shared" si="3"/>
        <v>30.95</v>
      </c>
      <c r="F43" s="4">
        <f>IF($C$23=0,0,IF(OR(Listas!$K$6=Listas!$L$3,Listas!$K$6=Listas!$L$4),0,IF($C$23="",0,IF(Listas!$D$5=Listas!$C$3,ROUND(IF(B43&lt;=$C$21,IF(ROUND((D42/$T$120)*$C$23*Q43,2)&lt;(1/$T$120),ROUND((1/$T$120),2),ROUND((D42/$T$120)*$C$23,2)*Q43),0),2),IF(Listas!$D$5=Listas!$C$2,ROUND(IF(B43&lt;=$C$21,IF(ROUND(D42*$C$23*Q43,2)&lt;1,1,ROUND(D42*$C$23,2)*Q43),0),2))))))</f>
        <v>2.0299999999999998</v>
      </c>
      <c r="G43" s="6">
        <f t="shared" ref="G43:G47" si="16">IF($C$12=$C$10,0,IF(B43&gt;$C$21,D42,I43-E43-F43-H43))</f>
        <v>179.58301952415962</v>
      </c>
      <c r="H43" s="6"/>
      <c r="I43" s="153">
        <f t="shared" ref="I43:I47" si="17">IF($C$12=$C$10,SUM(E43:G43),IF(B43&lt;=$C$21,$C$32,0))</f>
        <v>212.56301952415961</v>
      </c>
      <c r="J43" s="5">
        <f t="shared" si="4"/>
        <v>0</v>
      </c>
      <c r="K43" s="126">
        <f t="shared" ref="K43:K106" si="18">L43*Q43</f>
        <v>31</v>
      </c>
      <c r="L43" s="151">
        <f t="shared" si="5"/>
        <v>31</v>
      </c>
      <c r="M43" s="151">
        <f t="shared" ref="M43:M47" si="19">IF($C$12=$C$10,0,IF(B43&lt;=$C$21,A43-A42,0))</f>
        <v>31</v>
      </c>
      <c r="N43" s="5">
        <f t="shared" ref="N43:N106" si="20">N42-M43</f>
        <v>182</v>
      </c>
      <c r="O43" s="152">
        <f t="shared" ref="O43:O47" si="21">IF($C$12=$C$10,0,IF(B43&lt;=$C$21,ROUND((1+$C$25)^(N43/30),6),0))</f>
        <v>1.1536729999999999</v>
      </c>
      <c r="P43" s="81">
        <f t="shared" ref="P43:P106" si="22">IF(B43&lt;=$C$21,ROUND((1+$C$24)^(N43/30),8),0)*K43*Q43</f>
        <v>35.396994429999999</v>
      </c>
      <c r="Q43" s="82">
        <f>IF(Listas!$H$21=Listas!$I$15,1,IF(B43&lt;=$C$21,ROUND((EOMONTH(A43,0)-EOMONTH(A42,0))/30,0),0))</f>
        <v>1</v>
      </c>
      <c r="R43" s="94"/>
      <c r="S43" s="185">
        <f t="shared" si="1"/>
        <v>46055</v>
      </c>
      <c r="T43" s="185"/>
      <c r="U43" s="143">
        <f t="shared" si="6"/>
        <v>2</v>
      </c>
      <c r="V43" s="146">
        <f t="shared" si="7"/>
        <v>1173.95</v>
      </c>
      <c r="W43" s="146">
        <f>IF($C$12=$C$10,0,IF(U43=$C$21,V42,Z43-X43-Y43))</f>
        <v>180.03</v>
      </c>
      <c r="X43" s="144">
        <f t="shared" si="8"/>
        <v>30.94</v>
      </c>
      <c r="Y43" s="144">
        <f>IF($C$23=0,0,IF(OR(Listas!$K$6=Listas!$L$3,Listas!$K$6=Listas!$L$4),0,IF($C$23="",0,IF(Listas!$D$5=Listas!$C$3,ROUND(IF(U43&lt;=$C$21,IF(ROUND((V42/$T$120)*$C$23*AI43,2)&lt;(1/$T$120),ROUND((1/$T$120),2),ROUND((V42/$T$120)*$C$23,2)*AI43),0),2),IF(Listas!$D$5=Listas!$C$2,ROUND(IF(U43&lt;=$C$21,IF(ROUND(V42*$C$23*AI43,2)&lt;1,1,ROUND(V42*$C$23,2)*AI43),0),2))))))</f>
        <v>2.0299999999999998</v>
      </c>
      <c r="Z43" s="146">
        <f t="shared" si="9"/>
        <v>213</v>
      </c>
      <c r="AA43" s="146">
        <f t="shared" ref="AA43:AA47" si="23">IF(Z43&lt;1000,0,IF(U43&lt;=$C$21,$C$17,0))</f>
        <v>0</v>
      </c>
      <c r="AB43" s="146">
        <f t="shared" si="10"/>
        <v>213</v>
      </c>
      <c r="AC43" s="109"/>
      <c r="AD43" s="110"/>
      <c r="AG43" s="5">
        <f t="shared" si="11"/>
        <v>31</v>
      </c>
      <c r="AH43" s="5">
        <f t="shared" si="12"/>
        <v>182</v>
      </c>
      <c r="AI43" s="82">
        <f>IF(Listas!$H$21=Listas!$I$17,1,IF(U43&lt;=$C$21,ROUND((EOMONTH(S43,0)-EOMONTH(S42,0))/30,0),0))</f>
        <v>1</v>
      </c>
      <c r="AL43" s="77">
        <f t="shared" si="2"/>
        <v>46055</v>
      </c>
      <c r="AN43" s="79"/>
      <c r="AP43" s="6">
        <f t="shared" si="13"/>
        <v>213</v>
      </c>
      <c r="AQ43" s="5">
        <f t="shared" si="14"/>
        <v>0</v>
      </c>
      <c r="AR43" s="79"/>
      <c r="AS43" s="79"/>
      <c r="AU43" s="83">
        <v>44533</v>
      </c>
      <c r="AV43" s="79">
        <v>1</v>
      </c>
      <c r="AW43" s="79">
        <v>94</v>
      </c>
      <c r="AX43" s="79">
        <v>73.819999999999993</v>
      </c>
      <c r="AY43" s="79">
        <v>18.68</v>
      </c>
      <c r="AZ43" s="79">
        <v>1.5</v>
      </c>
      <c r="BA43" s="79">
        <v>0</v>
      </c>
      <c r="BB43" s="79">
        <v>0</v>
      </c>
    </row>
    <row r="44" spans="1:54">
      <c r="A44" s="77">
        <f>IF(IFERROR(VLOOKUP(C44,Listas!AT:AV,3,FALSE),0)=1,IF(WEEKDAY(C44+1)=7,C44+2,C44+1),C44)</f>
        <v>46083</v>
      </c>
      <c r="B44" s="5">
        <v>3</v>
      </c>
      <c r="C44" s="80">
        <f>IF(B44&gt;$C$21,"",IF(Listas!$I$21=Listas!$I$17,IF(WEEKDAY(C43+$D$13)=1,C43+$D$13+1,C43+$D$13),IF(B44&lt;=$C$21,IF((DATE(YEAR(C43),MONTH(C43)+1,DAY($C$14))-C43)&gt;=27,IF(WEEKDAY(DATE(YEAR(C43),MONTH(C43)+1,DAY($C$14)))=1,DATE(YEAR(C43),MONTH(C43)+1,DAY($C$14)+1),DATE(YEAR(C43),MONTH(C43)+1,DAY($C$14))),DATE(YEAR(C43),MONTH(C43)+2,DAY($C$14))),"")))</f>
        <v>46083</v>
      </c>
      <c r="D44" s="6">
        <f t="shared" si="15"/>
        <v>988.25094142752096</v>
      </c>
      <c r="E44" s="4">
        <f t="shared" si="3"/>
        <v>24.22</v>
      </c>
      <c r="F44" s="4">
        <f>IF($C$23=0,0,IF(OR(Listas!$K$6=Listas!$L$3,Listas!$K$6=Listas!$L$4),0,IF($C$23="",0,IF(Listas!$D$5=Listas!$C$3,ROUND(IF(B44&lt;=$C$21,IF(ROUND((D43/$T$120)*$C$23*Q44,2)&lt;(1/$T$120),ROUND((1/$T$120),2),ROUND((D43/$T$120)*$C$23,2)*Q44),0),2),IF(Listas!$D$5=Listas!$C$2,ROUND(IF(B44&lt;=$C$21,IF(ROUND(D43*$C$23*Q44,2)&lt;1,1,ROUND(D43*$C$23,2)*Q44),0),2))))))</f>
        <v>1.76</v>
      </c>
      <c r="G44" s="6">
        <f t="shared" si="16"/>
        <v>186.58301952415962</v>
      </c>
      <c r="H44" s="6"/>
      <c r="I44" s="153">
        <f t="shared" si="17"/>
        <v>212.56301952415961</v>
      </c>
      <c r="J44" s="5">
        <f t="shared" si="4"/>
        <v>0</v>
      </c>
      <c r="K44" s="126">
        <f t="shared" si="18"/>
        <v>28</v>
      </c>
      <c r="L44" s="151">
        <f>IF(B44&lt;=$C$21,A44-A43,0)</f>
        <v>28</v>
      </c>
      <c r="M44" s="151">
        <f t="shared" si="19"/>
        <v>28</v>
      </c>
      <c r="N44" s="5">
        <f t="shared" si="20"/>
        <v>154</v>
      </c>
      <c r="O44" s="152">
        <f t="shared" si="21"/>
        <v>1.1285780000000001</v>
      </c>
      <c r="P44" s="81">
        <f t="shared" si="22"/>
        <v>31.325677039999999</v>
      </c>
      <c r="Q44" s="82">
        <f>IF(Listas!$H$21=Listas!$I$15,1,IF(B44&lt;=$C$21,ROUND((EOMONTH(A44,0)-EOMONTH(A43,0))/30,0),0))</f>
        <v>1</v>
      </c>
      <c r="R44" s="94"/>
      <c r="S44" s="185">
        <f t="shared" si="1"/>
        <v>46083</v>
      </c>
      <c r="T44" s="185"/>
      <c r="U44" s="143">
        <f t="shared" si="6"/>
        <v>3</v>
      </c>
      <c r="V44" s="146">
        <f t="shared" si="7"/>
        <v>986.91000000000008</v>
      </c>
      <c r="W44" s="146">
        <f t="shared" ref="W44:W49" si="24">IF($C$12=$C$10,0,IF(U44=$C$21,V43,Z44-X44-Y44))</f>
        <v>187.04000000000002</v>
      </c>
      <c r="X44" s="144">
        <f t="shared" si="8"/>
        <v>24.2</v>
      </c>
      <c r="Y44" s="144">
        <f>IF($C$23=0,0,IF(OR(Listas!$K$6=Listas!$L$3,Listas!$K$6=Listas!$L$4),0,IF($C$23="",0,IF(Listas!$D$5=Listas!$C$3,ROUND(IF(U44&lt;=$C$21,IF(ROUND((V43/$T$120)*$C$23*AI44,2)&lt;(1/$T$120),ROUND((1/$T$120),2),ROUND((V43/$T$120)*$C$23,2)*AI44),0),2),IF(Listas!$D$5=Listas!$C$2,ROUND(IF(U44&lt;=$C$21,IF(ROUND(V43*$C$23*AI44,2)&lt;1,1,ROUND(V43*$C$23,2)*AI44),0),2))))))</f>
        <v>1.76</v>
      </c>
      <c r="Z44" s="146">
        <f t="shared" si="9"/>
        <v>213</v>
      </c>
      <c r="AA44" s="146">
        <f t="shared" si="23"/>
        <v>0</v>
      </c>
      <c r="AB44" s="146">
        <f t="shared" si="10"/>
        <v>213</v>
      </c>
      <c r="AC44" s="109"/>
      <c r="AD44" s="110"/>
      <c r="AG44" s="5">
        <f t="shared" si="11"/>
        <v>28</v>
      </c>
      <c r="AH44" s="5">
        <f t="shared" si="12"/>
        <v>154</v>
      </c>
      <c r="AI44" s="82">
        <f>IF(Listas!$H$21=Listas!$I$17,1,IF(U44&lt;=$C$21,ROUND((EOMONTH(S44,0)-EOMONTH(S43,0))/30,0),0))</f>
        <v>1</v>
      </c>
      <c r="AL44" s="77">
        <f t="shared" si="2"/>
        <v>46083</v>
      </c>
      <c r="AN44" s="79"/>
      <c r="AP44" s="6">
        <f t="shared" si="13"/>
        <v>213</v>
      </c>
      <c r="AQ44" s="5">
        <f t="shared" si="14"/>
        <v>0</v>
      </c>
      <c r="AR44" s="79"/>
      <c r="AS44" s="79"/>
      <c r="AU44" s="83">
        <v>44564</v>
      </c>
      <c r="AV44" s="79">
        <v>2</v>
      </c>
      <c r="AW44" s="79">
        <v>94</v>
      </c>
      <c r="AX44" s="79">
        <v>75.86</v>
      </c>
      <c r="AY44" s="79">
        <v>16.75</v>
      </c>
      <c r="AZ44" s="79">
        <v>1.39</v>
      </c>
      <c r="BA44" s="79">
        <v>0</v>
      </c>
      <c r="BB44" s="79">
        <v>0</v>
      </c>
    </row>
    <row r="45" spans="1:54">
      <c r="A45" s="77">
        <f>IF(IFERROR(VLOOKUP(C45,Listas!AT:AV,3,FALSE),0)=1,IF(WEEKDAY(C45+1)=7,C45+2,C45+1),C45)</f>
        <v>46114</v>
      </c>
      <c r="B45" s="5">
        <v>4</v>
      </c>
      <c r="C45" s="80">
        <f>IF(B45&gt;$C$21,"",IF(Listas!$I$21=Listas!$I$17,IF(WEEKDAY(C44+$D$13)=1,C44+$D$13+1,C44+$D$13),IF(B45&lt;=$C$21,IF((DATE(YEAR(C44),MONTH(C44)+1,DAY($C$14))-C44)&gt;=27,IF(WEEKDAY(DATE(YEAR(C44),MONTH(C44)+1,DAY($C$14)))=1,DATE(YEAR(C44),MONTH(C44)+1,DAY($C$14)+1),DATE(YEAR(C44),MONTH(C44)+1,DAY($C$14))),DATE(YEAR(C44),MONTH(C44)+2,DAY($C$14))),"")))</f>
        <v>46114</v>
      </c>
      <c r="D45" s="6">
        <f t="shared" si="15"/>
        <v>799.74792190336132</v>
      </c>
      <c r="E45" s="4">
        <f t="shared" si="3"/>
        <v>22.58</v>
      </c>
      <c r="F45" s="4">
        <f>IF($C$23=0,0,IF(OR(Listas!$K$6=Listas!$L$3,Listas!$K$6=Listas!$L$4),0,IF($C$23="",0,IF(Listas!$D$5=Listas!$C$3,ROUND(IF(B45&lt;=$C$21,IF(ROUND((D44/$T$120)*$C$23*Q45,2)&lt;(1/$T$120),ROUND((1/$T$120),2),ROUND((D44/$T$120)*$C$23,2)*Q45),0),2),IF(Listas!$D$5=Listas!$C$2,ROUND(IF(B45&lt;=$C$21,IF(ROUND(D44*$C$23*Q45,2)&lt;1,1,ROUND(D44*$C$23,2)*Q45),0),2))))))</f>
        <v>1.48</v>
      </c>
      <c r="G45" s="6">
        <f t="shared" si="16"/>
        <v>188.50301952415961</v>
      </c>
      <c r="H45" s="6"/>
      <c r="I45" s="153">
        <f t="shared" si="17"/>
        <v>212.56301952415961</v>
      </c>
      <c r="J45" s="5">
        <f t="shared" si="4"/>
        <v>0</v>
      </c>
      <c r="K45" s="126">
        <f t="shared" si="18"/>
        <v>31</v>
      </c>
      <c r="L45" s="151">
        <f t="shared" si="5"/>
        <v>31</v>
      </c>
      <c r="M45" s="151">
        <f t="shared" si="19"/>
        <v>31</v>
      </c>
      <c r="N45" s="5">
        <f t="shared" si="20"/>
        <v>123</v>
      </c>
      <c r="O45" s="152">
        <f t="shared" si="21"/>
        <v>1.101431</v>
      </c>
      <c r="P45" s="81">
        <f t="shared" si="22"/>
        <v>33.90723208</v>
      </c>
      <c r="Q45" s="82">
        <f>IF(Listas!$H$21=Listas!$I$15,1,IF(B45&lt;=$C$21,ROUND((EOMONTH(A45,0)-EOMONTH(A44,0))/30,0),0))</f>
        <v>1</v>
      </c>
      <c r="R45" s="94"/>
      <c r="S45" s="185">
        <f>IF(A45=0,"",A45)</f>
        <v>46114</v>
      </c>
      <c r="T45" s="185"/>
      <c r="U45" s="143">
        <f t="shared" si="6"/>
        <v>4</v>
      </c>
      <c r="V45" s="146">
        <f t="shared" si="7"/>
        <v>797.94</v>
      </c>
      <c r="W45" s="146">
        <f t="shared" si="24"/>
        <v>188.97</v>
      </c>
      <c r="X45" s="144">
        <f t="shared" si="8"/>
        <v>22.55</v>
      </c>
      <c r="Y45" s="144">
        <f>IF($C$23=0,0,IF(OR(Listas!$K$6=Listas!$L$3,Listas!$K$6=Listas!$L$4),0,IF($C$23="",0,IF(Listas!$D$5=Listas!$C$3,ROUND(IF(U45&lt;=$C$21,IF(ROUND((V44/$T$120)*$C$23*AI45,2)&lt;(1/$T$120),ROUND((1/$T$120),2),ROUND((V44/$T$120)*$C$23,2)*AI45),0),2),IF(Listas!$D$5=Listas!$C$2,ROUND(IF(U45&lt;=$C$21,IF(ROUND(V44*$C$23*AI45,2)&lt;1,1,ROUND(V44*$C$23,2)*AI45),0),2))))))</f>
        <v>1.48</v>
      </c>
      <c r="Z45" s="146">
        <f t="shared" si="9"/>
        <v>213</v>
      </c>
      <c r="AA45" s="146">
        <f t="shared" si="23"/>
        <v>0</v>
      </c>
      <c r="AB45" s="146">
        <f t="shared" si="10"/>
        <v>213</v>
      </c>
      <c r="AC45" s="109"/>
      <c r="AD45" s="110"/>
      <c r="AG45" s="5">
        <f t="shared" si="11"/>
        <v>31</v>
      </c>
      <c r="AH45" s="5">
        <f t="shared" si="12"/>
        <v>123</v>
      </c>
      <c r="AI45" s="82">
        <f>IF(Listas!$H$21=Listas!$I$17,1,IF(U45&lt;=$C$21,ROUND((EOMONTH(S45,0)-EOMONTH(S44,0))/30,0),0))</f>
        <v>1</v>
      </c>
      <c r="AL45" s="77">
        <f t="shared" si="2"/>
        <v>46114</v>
      </c>
      <c r="AN45" s="79"/>
      <c r="AP45" s="6">
        <f t="shared" si="13"/>
        <v>213</v>
      </c>
      <c r="AQ45" s="5">
        <f t="shared" si="14"/>
        <v>0</v>
      </c>
      <c r="AR45" s="79"/>
      <c r="AS45" s="79"/>
      <c r="AU45" s="83">
        <v>44595</v>
      </c>
      <c r="AV45" s="79">
        <v>3</v>
      </c>
      <c r="AW45" s="79">
        <v>94</v>
      </c>
      <c r="AX45" s="79">
        <v>77.34</v>
      </c>
      <c r="AY45" s="79">
        <v>15.38</v>
      </c>
      <c r="AZ45" s="79">
        <v>1.28</v>
      </c>
      <c r="BA45" s="79">
        <v>0</v>
      </c>
      <c r="BB45" s="79">
        <v>0</v>
      </c>
    </row>
    <row r="46" spans="1:54">
      <c r="A46" s="77">
        <f>IF(IFERROR(VLOOKUP(C46,Listas!AT:AV,3,FALSE),0)=1,IF(WEEKDAY(C46+1)=7,C46+2,C46+1),C46)</f>
        <v>46144</v>
      </c>
      <c r="B46" s="5">
        <v>5</v>
      </c>
      <c r="C46" s="80">
        <f>IF(B46&gt;$C$21,"",IF(Listas!$I$21=Listas!$I$17,IF(WEEKDAY(C45+$D$13)=1,C45+$D$13+1,C45+$D$13),IF(B46&lt;=$C$21,IF((DATE(YEAR(C45),MONTH(C45)+1,DAY($C$14))-C45)&gt;=27,IF(WEEKDAY(DATE(YEAR(C45),MONTH(C45)+1,DAY($C$14)))=1,DATE(YEAR(C45),MONTH(C45)+1,DAY($C$14)+1),DATE(YEAR(C45),MONTH(C45)+1,DAY($C$14))),DATE(YEAR(C45),MONTH(C45)+2,DAY($C$14))),"")))</f>
        <v>46144</v>
      </c>
      <c r="D46" s="6">
        <f t="shared" si="15"/>
        <v>606.06490237920173</v>
      </c>
      <c r="E46" s="4">
        <f t="shared" si="3"/>
        <v>17.68</v>
      </c>
      <c r="F46" s="4">
        <f>IF($C$23=0,0,IF(OR(Listas!$K$6=Listas!$L$3,Listas!$K$6=Listas!$L$4),0,IF($C$23="",0,IF(Listas!$D$5=Listas!$C$3,ROUND(IF(B46&lt;=$C$21,IF(ROUND((D45/$T$120)*$C$23*Q46,2)&lt;(1/$T$120),ROUND((1/$T$120),2),ROUND((D45/$T$120)*$C$23,2)*Q46),0),2),IF(Listas!$D$5=Listas!$C$2,ROUND(IF(B46&lt;=$C$21,IF(ROUND(D45*$C$23*Q46,2)&lt;1,1,ROUND(D45*$C$23,2)*Q46),0),2))))))</f>
        <v>1.2</v>
      </c>
      <c r="G46" s="6">
        <f t="shared" si="16"/>
        <v>193.68301952415962</v>
      </c>
      <c r="H46" s="6"/>
      <c r="I46" s="153">
        <f t="shared" si="17"/>
        <v>212.56301952415961</v>
      </c>
      <c r="J46" s="5">
        <f t="shared" si="4"/>
        <v>0</v>
      </c>
      <c r="K46" s="126">
        <f t="shared" si="18"/>
        <v>30</v>
      </c>
      <c r="L46" s="151">
        <f t="shared" si="5"/>
        <v>30</v>
      </c>
      <c r="M46" s="151">
        <f t="shared" si="19"/>
        <v>30</v>
      </c>
      <c r="N46" s="5">
        <f t="shared" si="20"/>
        <v>93</v>
      </c>
      <c r="O46" s="152">
        <f t="shared" si="21"/>
        <v>1.0757810000000001</v>
      </c>
      <c r="P46" s="81">
        <f t="shared" si="22"/>
        <v>32.103813299999999</v>
      </c>
      <c r="Q46" s="82">
        <f>IF(Listas!$H$21=Listas!$I$15,1,IF(B46&lt;=$C$21,ROUND((EOMONTH(A46,0)-EOMONTH(A45,0))/30,0),0))</f>
        <v>1</v>
      </c>
      <c r="R46" s="94"/>
      <c r="S46" s="185">
        <f t="shared" si="1"/>
        <v>46144</v>
      </c>
      <c r="T46" s="185"/>
      <c r="U46" s="143">
        <f t="shared" si="6"/>
        <v>5</v>
      </c>
      <c r="V46" s="146">
        <f t="shared" si="7"/>
        <v>603.78</v>
      </c>
      <c r="W46" s="146">
        <f t="shared" si="24"/>
        <v>194.16000000000003</v>
      </c>
      <c r="X46" s="144">
        <f t="shared" si="8"/>
        <v>17.64</v>
      </c>
      <c r="Y46" s="144">
        <f>IF($C$23=0,0,IF(OR(Listas!$K$6=Listas!$L$3,Listas!$K$6=Listas!$L$4),0,IF($C$23="",0,IF(Listas!$D$5=Listas!$C$3,ROUND(IF(U46&lt;=$C$21,IF(ROUND((V45/$T$120)*$C$23*AI46,2)&lt;(1/$T$120),ROUND((1/$T$120),2),ROUND((V45/$T$120)*$C$23,2)*AI46),0),2),IF(Listas!$D$5=Listas!$C$2,ROUND(IF(U46&lt;=$C$21,IF(ROUND(V45*$C$23*AI46,2)&lt;1,1,ROUND(V45*$C$23,2)*AI46),0),2))))))</f>
        <v>1.2</v>
      </c>
      <c r="Z46" s="146">
        <f t="shared" si="9"/>
        <v>213</v>
      </c>
      <c r="AA46" s="146">
        <f t="shared" si="23"/>
        <v>0</v>
      </c>
      <c r="AB46" s="146">
        <f t="shared" si="10"/>
        <v>213</v>
      </c>
      <c r="AC46" s="109"/>
      <c r="AD46" s="110"/>
      <c r="AG46" s="5">
        <f t="shared" si="11"/>
        <v>30</v>
      </c>
      <c r="AH46" s="5">
        <f t="shared" si="12"/>
        <v>93</v>
      </c>
      <c r="AI46" s="82">
        <f>IF(Listas!$H$21=Listas!$I$17,1,IF(U46&lt;=$C$21,ROUND((EOMONTH(S46,0)-EOMONTH(S45,0))/30,0),0))</f>
        <v>1</v>
      </c>
      <c r="AL46" s="77">
        <f t="shared" si="2"/>
        <v>46144</v>
      </c>
      <c r="AN46" s="79"/>
      <c r="AP46" s="6">
        <f t="shared" si="13"/>
        <v>213</v>
      </c>
      <c r="AQ46" s="5">
        <f t="shared" si="14"/>
        <v>0</v>
      </c>
      <c r="AR46" s="79"/>
      <c r="AS46" s="79"/>
      <c r="AU46" s="83">
        <v>44623</v>
      </c>
      <c r="AV46" s="79">
        <v>4</v>
      </c>
      <c r="AW46" s="79">
        <v>94</v>
      </c>
      <c r="AX46" s="79">
        <v>80.22</v>
      </c>
      <c r="AY46" s="79">
        <v>12.62</v>
      </c>
      <c r="AZ46" s="79">
        <v>1.1599999999999999</v>
      </c>
      <c r="BA46" s="79">
        <v>0</v>
      </c>
      <c r="BB46" s="79">
        <v>0</v>
      </c>
    </row>
    <row r="47" spans="1:54">
      <c r="A47" s="77">
        <f>IF(IFERROR(VLOOKUP(C47,Listas!AT:AV,3,FALSE),0)=1,IF(WEEKDAY(C47+1)=7,C47+2,C47+1),C47)</f>
        <v>46175</v>
      </c>
      <c r="B47" s="5">
        <v>6</v>
      </c>
      <c r="C47" s="80">
        <f>IF(B47&gt;$C$21,"",IF(Listas!$I$21=Listas!$I$17,IF(WEEKDAY(C46+$D$13)=1,C46+$D$13+1,C46+$D$13),IF(B47&lt;=$C$21,IF((DATE(YEAR(C46),MONTH(C46)+1,DAY($C$14))-C46)&gt;=27,IF(WEEKDAY(DATE(YEAR(C46),MONTH(C46)+1,DAY($C$14)))=1,DATE(YEAR(C46),MONTH(C46)+1,DAY($C$14)+1),DATE(YEAR(C46),MONTH(C46)+1,DAY($C$14))),DATE(YEAR(C46),MONTH(C46)+2,DAY($C$14))),"")))</f>
        <v>46175</v>
      </c>
      <c r="D47" s="6">
        <f t="shared" si="15"/>
        <v>408.35188285504211</v>
      </c>
      <c r="E47" s="4">
        <f t="shared" si="3"/>
        <v>13.85</v>
      </c>
      <c r="F47" s="4">
        <f>IF($C$23=0,0,IF(OR(Listas!$K$6=Listas!$L$3,Listas!$K$6=Listas!$L$4),0,IF($C$23="",0,IF(Listas!$D$5=Listas!$C$3,ROUND(IF(B47&lt;=$C$21,IF(ROUND((D46/$T$120)*$C$23*Q47,2)&lt;(1/$T$120),ROUND((1/$T$120),2),ROUND((D46/$T$120)*$C$23,2)*Q47),0),2),IF(Listas!$D$5=Listas!$C$2,ROUND(IF(B47&lt;=$C$21,IF(ROUND(D46*$C$23*Q47,2)&lt;1,1,ROUND(D46*$C$23,2)*Q47),0),2))))))</f>
        <v>1</v>
      </c>
      <c r="G47" s="6">
        <f t="shared" si="16"/>
        <v>197.71301952415962</v>
      </c>
      <c r="H47" s="6"/>
      <c r="I47" s="153">
        <f t="shared" si="17"/>
        <v>212.56301952415961</v>
      </c>
      <c r="J47" s="5">
        <f t="shared" si="4"/>
        <v>0</v>
      </c>
      <c r="K47" s="126">
        <f t="shared" si="18"/>
        <v>31</v>
      </c>
      <c r="L47" s="151">
        <f t="shared" si="5"/>
        <v>31</v>
      </c>
      <c r="M47" s="151">
        <f t="shared" si="19"/>
        <v>31</v>
      </c>
      <c r="N47" s="5">
        <f t="shared" si="20"/>
        <v>62</v>
      </c>
      <c r="O47" s="152">
        <f t="shared" si="21"/>
        <v>1.049903</v>
      </c>
      <c r="P47" s="81">
        <f t="shared" si="22"/>
        <v>32.432861849999995</v>
      </c>
      <c r="Q47" s="82">
        <f>IF(Listas!$H$21=Listas!$I$15,1,IF(B47&lt;=$C$21,ROUND((EOMONTH(A47,0)-EOMONTH(A46,0))/30,0),0))</f>
        <v>1</v>
      </c>
      <c r="R47" s="94"/>
      <c r="S47" s="185">
        <f t="shared" si="1"/>
        <v>46175</v>
      </c>
      <c r="T47" s="185"/>
      <c r="U47" s="143">
        <f t="shared" si="6"/>
        <v>6</v>
      </c>
      <c r="V47" s="146">
        <f t="shared" si="7"/>
        <v>405.58</v>
      </c>
      <c r="W47" s="146">
        <f t="shared" si="24"/>
        <v>198.2</v>
      </c>
      <c r="X47" s="144">
        <f t="shared" si="8"/>
        <v>13.8</v>
      </c>
      <c r="Y47" s="144">
        <f>IF($C$23=0,0,IF(OR(Listas!$K$6=Listas!$L$3,Listas!$K$6=Listas!$L$4),0,IF($C$23="",0,IF(Listas!$D$5=Listas!$C$3,ROUND(IF(U47&lt;=$C$21,IF(ROUND((V46/$T$120)*$C$23*AI47,2)&lt;(1/$T$120),ROUND((1/$T$120),2),ROUND((V46/$T$120)*$C$23,2)*AI47),0),2),IF(Listas!$D$5=Listas!$C$2,ROUND(IF(U47&lt;=$C$21,IF(ROUND(V46*$C$23*AI47,2)&lt;1,1,ROUND(V46*$C$23,2)*AI47),0),2))))))</f>
        <v>1</v>
      </c>
      <c r="Z47" s="146">
        <f t="shared" si="9"/>
        <v>213</v>
      </c>
      <c r="AA47" s="146">
        <f t="shared" si="23"/>
        <v>0</v>
      </c>
      <c r="AB47" s="146">
        <f t="shared" si="10"/>
        <v>213</v>
      </c>
      <c r="AC47" s="109"/>
      <c r="AD47" s="110"/>
      <c r="AG47" s="5">
        <f t="shared" si="11"/>
        <v>31</v>
      </c>
      <c r="AH47" s="5">
        <f t="shared" si="12"/>
        <v>62</v>
      </c>
      <c r="AI47" s="82">
        <f>IF(Listas!$H$21=Listas!$I$17,1,IF(U47&lt;=$C$21,ROUND((EOMONTH(S47,0)-EOMONTH(S46,0))/30,0),0))</f>
        <v>1</v>
      </c>
      <c r="AL47" s="77">
        <f t="shared" si="2"/>
        <v>46175</v>
      </c>
      <c r="AN47" s="79"/>
      <c r="AP47" s="6">
        <f t="shared" si="13"/>
        <v>213</v>
      </c>
      <c r="AQ47" s="5">
        <f t="shared" si="14"/>
        <v>0</v>
      </c>
      <c r="AR47" s="79"/>
      <c r="AS47" s="79"/>
      <c r="AU47" s="83">
        <v>44655</v>
      </c>
      <c r="AV47" s="79">
        <v>5</v>
      </c>
      <c r="AW47" s="79">
        <v>94</v>
      </c>
      <c r="AX47" s="79">
        <v>80.02</v>
      </c>
      <c r="AY47" s="79">
        <v>12.94</v>
      </c>
      <c r="AZ47" s="79">
        <v>1.04</v>
      </c>
      <c r="BA47" s="79">
        <v>0</v>
      </c>
      <c r="BB47" s="79">
        <v>0</v>
      </c>
    </row>
    <row r="48" spans="1:54">
      <c r="A48" s="77">
        <f>IF(IFERROR(VLOOKUP(C48,Listas!AT:AV,3,FALSE),0)=1,IF(WEEKDAY(C48+1)=7,C48+2,C48+1),C48)</f>
        <v>46205</v>
      </c>
      <c r="B48" s="5">
        <v>7</v>
      </c>
      <c r="C48" s="80">
        <f>IF(B48&gt;$C$21,"",IF(Listas!$I$21=Listas!$I$17,IF(WEEKDAY(C47+$D$13)=1,C47+$D$13+1,C47+$D$13),IF(B48&lt;=$C$21,IF((DATE(YEAR(C47),MONTH(C47)+1,DAY($C$14))-C47)&gt;=27,IF(WEEKDAY(DATE(YEAR(C47),MONTH(C47)+1,DAY($C$14)))=1,DATE(YEAR(C47),MONTH(C47)+1,DAY($C$14)+1),DATE(YEAR(C47),MONTH(C47)+1,DAY($C$14))),DATE(YEAR(C47),MONTH(C47)+2,DAY($C$14))),"")))</f>
        <v>46205</v>
      </c>
      <c r="D48" s="6">
        <f t="shared" si="15"/>
        <v>205.81886333088249</v>
      </c>
      <c r="E48" s="4">
        <f t="shared" si="3"/>
        <v>9.0299999999999994</v>
      </c>
      <c r="F48" s="4">
        <f>IF($C$23=0,0,IF(OR(Listas!$K$6=Listas!$L$3,Listas!$K$6=Listas!$L$4),0,IF($C$23="",0,IF(Listas!$D$5=Listas!$C$3,ROUND(IF(B48&lt;=$C$21,IF(ROUND((D47/$T$120)*$C$23*Q48,2)&lt;(1/$T$120),ROUND((1/$T$120),2),ROUND((D47/$T$120)*$C$23,2)*Q48),0),2),IF(Listas!$D$5=Listas!$C$2,ROUND(IF(B48&lt;=$C$21,IF(ROUND(D47*$C$23*Q48,2)&lt;1,1,ROUND(D47*$C$23,2)*Q48),0),2))))))</f>
        <v>1</v>
      </c>
      <c r="G48" s="6">
        <f t="shared" ref="G48:G101" si="25">IF(B48&gt;$C$21,D47,I48-E48-F48-H48)</f>
        <v>202.53301952415961</v>
      </c>
      <c r="H48" s="6"/>
      <c r="I48" s="6">
        <f t="shared" ref="I48:I101" si="26">IF(B48&lt;=$C$21,$C$32,0)</f>
        <v>212.56301952415961</v>
      </c>
      <c r="J48" s="5">
        <f t="shared" si="4"/>
        <v>0</v>
      </c>
      <c r="K48" s="126">
        <f t="shared" si="18"/>
        <v>30</v>
      </c>
      <c r="L48" s="5">
        <f t="shared" si="5"/>
        <v>30</v>
      </c>
      <c r="M48" s="5">
        <f>IF(B48&lt;=$C$21,A48-A47,0)</f>
        <v>30</v>
      </c>
      <c r="N48" s="5">
        <f t="shared" si="20"/>
        <v>32</v>
      </c>
      <c r="O48" s="81">
        <f t="shared" ref="O48:O101" si="27">IF(B48&lt;=$C$21,ROUND((1+$C$25)^(N48/30),6),0)</f>
        <v>1.0254529999999999</v>
      </c>
      <c r="P48" s="81">
        <f t="shared" si="22"/>
        <v>30.707860199999999</v>
      </c>
      <c r="Q48" s="82">
        <f>IF(Listas!$H$21=Listas!$I$15,1,IF(B48&lt;=$C$21,ROUND((EOMONTH(A48,0)-EOMONTH(A47,0))/30,0),0))</f>
        <v>1</v>
      </c>
      <c r="R48" s="94"/>
      <c r="S48" s="185">
        <f t="shared" si="1"/>
        <v>46205</v>
      </c>
      <c r="T48" s="185"/>
      <c r="U48" s="143">
        <f t="shared" si="6"/>
        <v>7</v>
      </c>
      <c r="V48" s="146">
        <f t="shared" si="7"/>
        <v>202.54999999999998</v>
      </c>
      <c r="W48" s="146">
        <f t="shared" si="24"/>
        <v>203.03</v>
      </c>
      <c r="X48" s="144">
        <f t="shared" si="8"/>
        <v>8.9700000000000006</v>
      </c>
      <c r="Y48" s="144">
        <f>IF($C$23=0,0,IF(OR(Listas!$K$6=Listas!$L$3,Listas!$K$6=Listas!$L$4),0,IF($C$23="",0,IF(Listas!$D$5=Listas!$C$3,ROUND(IF(U48&lt;=$C$21,IF(ROUND((V47/$T$120)*$C$23*AI48,2)&lt;(1/$T$120),ROUND((1/$T$120),2),ROUND((V47/$T$120)*$C$23,2)*AI48),0),2),IF(Listas!$D$5=Listas!$C$2,ROUND(IF(U48&lt;=$C$21,IF(ROUND(V47*$C$23*AI48,2)&lt;1,1,ROUND(V47*$C$23,2)*AI48),0),2))))))</f>
        <v>1</v>
      </c>
      <c r="Z48" s="146">
        <f t="shared" ref="Z48:Z53" si="28">IF(U48=$C$21,SUM(W48,X48,Y48,AQ48),IF(U48&lt;$C$21,$C$34,0))</f>
        <v>213</v>
      </c>
      <c r="AA48" s="146">
        <f t="shared" ref="AA48:AA53" si="29">IF(U48&lt;=$C$21,$C$17,0)</f>
        <v>0</v>
      </c>
      <c r="AB48" s="146">
        <f t="shared" si="10"/>
        <v>213</v>
      </c>
      <c r="AC48" s="109"/>
      <c r="AD48" s="110"/>
      <c r="AG48" s="5">
        <f t="shared" si="11"/>
        <v>30</v>
      </c>
      <c r="AH48" s="5">
        <f t="shared" si="12"/>
        <v>32</v>
      </c>
      <c r="AI48" s="82">
        <f>IF(Listas!$H$21=Listas!$I$17,1,IF(U48&lt;=$C$21,ROUND((EOMONTH(S48,0)-EOMONTH(S47,0))/30,0),0))</f>
        <v>1</v>
      </c>
      <c r="AL48" s="77">
        <f t="shared" si="2"/>
        <v>46205</v>
      </c>
      <c r="AN48" s="79"/>
      <c r="AP48" s="6">
        <f t="shared" si="13"/>
        <v>213</v>
      </c>
      <c r="AQ48" s="5">
        <f t="shared" si="14"/>
        <v>0</v>
      </c>
      <c r="AR48" s="79"/>
      <c r="AS48" s="79"/>
      <c r="AU48" s="83">
        <v>44684</v>
      </c>
      <c r="AV48" s="79">
        <v>6</v>
      </c>
      <c r="AW48" s="79">
        <v>94</v>
      </c>
      <c r="AX48" s="79">
        <v>82.64</v>
      </c>
      <c r="AY48" s="79">
        <v>10.36</v>
      </c>
      <c r="AZ48" s="79">
        <v>1</v>
      </c>
      <c r="BA48" s="79">
        <v>0</v>
      </c>
      <c r="BB48" s="79">
        <v>0</v>
      </c>
    </row>
    <row r="49" spans="1:54">
      <c r="A49" s="77">
        <f>IF(IFERROR(VLOOKUP(C49,Listas!AT:AV,3,FALSE),0)=1,IF(WEEKDAY(C49+1)=7,C49+2,C49+1),C49)</f>
        <v>46237</v>
      </c>
      <c r="B49" s="5">
        <v>8</v>
      </c>
      <c r="C49" s="80">
        <f>IF(B49&gt;$C$21,"",IF(Listas!$I$21=Listas!$I$17,IF(WEEKDAY(C48+$D$13)=1,C48+$D$13+1,C48+$D$13),IF(B49&lt;=$C$21,IF((DATE(YEAR(C48),MONTH(C48)+1,DAY($C$14))-C48)&gt;=27,IF(WEEKDAY(DATE(YEAR(C48),MONTH(C48)+1,DAY($C$14)))=1,DATE(YEAR(C48),MONTH(C48)+1,DAY($C$14)+1),DATE(YEAR(C48),MONTH(C48)+1,DAY($C$14))),DATE(YEAR(C48),MONTH(C48)+2,DAY($C$14))),"")))</f>
        <v>46237</v>
      </c>
      <c r="D49" s="6">
        <f t="shared" si="15"/>
        <v>-0.88415619327710715</v>
      </c>
      <c r="E49" s="4">
        <f t="shared" si="3"/>
        <v>4.8600000000000003</v>
      </c>
      <c r="F49" s="4">
        <f>IF($C$23=0,0,IF(OR(Listas!$K$6=Listas!$L$3,Listas!$K$6=Listas!$L$4),0,IF($C$23="",0,IF(Listas!$D$5=Listas!$C$3,ROUND(IF(B49&lt;=$C$21,IF(ROUND((D48/$T$120)*$C$23*Q49,2)&lt;(1/$T$120),ROUND((1/$T$120),2),ROUND((D48/$T$120)*$C$23,2)*Q49),0),2),IF(Listas!$D$5=Listas!$C$2,ROUND(IF(B49&lt;=$C$21,IF(ROUND(D48*$C$23*Q49,2)&lt;1,1,ROUND(D48*$C$23,2)*Q49),0),2))))))</f>
        <v>1</v>
      </c>
      <c r="G49" s="6">
        <f t="shared" si="25"/>
        <v>206.7030195241596</v>
      </c>
      <c r="H49" s="6"/>
      <c r="I49" s="6">
        <f t="shared" si="26"/>
        <v>212.56301952415961</v>
      </c>
      <c r="J49" s="5">
        <f t="shared" si="4"/>
        <v>0</v>
      </c>
      <c r="K49" s="126">
        <f t="shared" si="18"/>
        <v>32</v>
      </c>
      <c r="L49" s="5">
        <f t="shared" si="5"/>
        <v>32</v>
      </c>
      <c r="M49" s="5">
        <f t="shared" ref="M49:M112" si="30">IF(B49&lt;=$C$21,A49-A48,0)</f>
        <v>32</v>
      </c>
      <c r="N49" s="5">
        <f t="shared" si="20"/>
        <v>0</v>
      </c>
      <c r="O49" s="81">
        <f t="shared" si="27"/>
        <v>1</v>
      </c>
      <c r="P49" s="81">
        <f t="shared" si="22"/>
        <v>32</v>
      </c>
      <c r="Q49" s="82">
        <f>IF(Listas!$H$21=Listas!$I$15,1,IF(B49&lt;=$C$21,ROUND((EOMONTH(A49,0)-EOMONTH(A48,0))/30,0),0))</f>
        <v>1</v>
      </c>
      <c r="R49" s="94"/>
      <c r="S49" s="185">
        <f t="shared" si="1"/>
        <v>46237</v>
      </c>
      <c r="T49" s="185"/>
      <c r="U49" s="143">
        <f t="shared" si="6"/>
        <v>8</v>
      </c>
      <c r="V49" s="146">
        <f t="shared" si="7"/>
        <v>0</v>
      </c>
      <c r="W49" s="146">
        <f t="shared" si="24"/>
        <v>202.54999999999998</v>
      </c>
      <c r="X49" s="144">
        <f t="shared" si="8"/>
        <v>4.78</v>
      </c>
      <c r="Y49" s="144">
        <f>IF($C$23=0,0,IF(OR(Listas!$K$6=Listas!$L$3,Listas!$K$6=Listas!$L$4),0,IF($C$23="",0,IF(Listas!$D$5=Listas!$C$3,ROUND(IF(U49&lt;=$C$21,IF(ROUND((V48/$T$120)*$C$23*AI49,2)&lt;(1/$T$120),ROUND((1/$T$120),2),ROUND((V48/$T$120)*$C$23,2)*AI49),0),2),IF(Listas!$D$5=Listas!$C$2,ROUND(IF(U49&lt;=$C$21,IF(ROUND(V48*$C$23*AI49,2)&lt;1,1,ROUND(V48*$C$23,2)*AI49),0),2))))))</f>
        <v>1</v>
      </c>
      <c r="Z49" s="146">
        <f t="shared" si="28"/>
        <v>208.32999999999998</v>
      </c>
      <c r="AA49" s="146">
        <f t="shared" si="29"/>
        <v>0</v>
      </c>
      <c r="AB49" s="146">
        <f t="shared" si="10"/>
        <v>208.32999999999998</v>
      </c>
      <c r="AC49" s="109"/>
      <c r="AD49" s="110"/>
      <c r="AG49" s="5">
        <f t="shared" si="11"/>
        <v>32</v>
      </c>
      <c r="AH49" s="5">
        <f t="shared" si="12"/>
        <v>0</v>
      </c>
      <c r="AI49" s="82">
        <f>IF(Listas!$H$21=Listas!$I$17,1,IF(U49&lt;=$C$21,ROUND((EOMONTH(S49,0)-EOMONTH(S48,0))/30,0),0))</f>
        <v>1</v>
      </c>
      <c r="AL49" s="77">
        <f t="shared" si="2"/>
        <v>46237</v>
      </c>
      <c r="AN49" s="79"/>
      <c r="AP49" s="6">
        <f t="shared" si="13"/>
        <v>208.32999999999998</v>
      </c>
      <c r="AQ49" s="5">
        <f t="shared" si="14"/>
        <v>0</v>
      </c>
      <c r="AR49" s="79"/>
      <c r="AS49" s="79"/>
      <c r="AU49" s="83">
        <v>44715</v>
      </c>
      <c r="AV49" s="79">
        <v>7</v>
      </c>
      <c r="AW49" s="79">
        <v>94</v>
      </c>
      <c r="AX49" s="79">
        <v>83.41</v>
      </c>
      <c r="AY49" s="79">
        <v>9.59</v>
      </c>
      <c r="AZ49" s="79">
        <v>1</v>
      </c>
      <c r="BA49" s="79">
        <v>0</v>
      </c>
      <c r="BB49" s="79">
        <v>0</v>
      </c>
    </row>
    <row r="50" spans="1:54">
      <c r="A50" s="77" t="str">
        <f>IF(IFERROR(VLOOKUP(C50,Listas!AT:AV,3,FALSE),0)=1,IF(WEEKDAY(C50+1)=7,C50+2,C50+1),C50)</f>
        <v/>
      </c>
      <c r="B50" s="5">
        <v>9</v>
      </c>
      <c r="C50" s="80" t="str">
        <f>IF(B50&gt;$C$21,"",IF(Listas!$I$21=Listas!$I$17,IF(WEEKDAY(C49+$D$13)=1,C49+$D$13+1,C49+$D$13),IF(B50&lt;=$C$21,IF((DATE(YEAR(C49),MONTH(C49)+1,DAY($C$14))-C49)&gt;=27,IF(WEEKDAY(DATE(YEAR(C49),MONTH(C49)+1,DAY($C$14)))=1,DATE(YEAR(C49),MONTH(C49)+1,DAY($C$14)+1),DATE(YEAR(C49),MONTH(C49)+1,DAY($C$14))),DATE(YEAR(C49),MONTH(C49)+2,DAY($C$14))),"")))</f>
        <v/>
      </c>
      <c r="D50" s="6" t="str">
        <f t="shared" si="15"/>
        <v/>
      </c>
      <c r="E50" s="4">
        <f t="shared" si="3"/>
        <v>0</v>
      </c>
      <c r="F50" s="4">
        <f>IF($C$23=0,0,IF(OR(Listas!$K$6=Listas!$L$3,Listas!$K$6=Listas!$L$4),0,IF($C$23="",0,IF(Listas!$D$5=Listas!$C$3,ROUND(IF(B50&lt;=$C$21,IF(ROUND((D49/$T$120)*$C$23*Q50,2)&lt;(1/$T$120),ROUND((1/$T$120),2),ROUND((D49/$T$120)*$C$23,2)*Q50),0),2),IF(Listas!$D$5=Listas!$C$2,ROUND(IF(B50&lt;=$C$21,IF(ROUND(D49*$C$23*Q50,2)&lt;1,1,ROUND(D49*$C$23,2)*Q50),0),2))))))</f>
        <v>0</v>
      </c>
      <c r="G50" s="6">
        <f t="shared" si="25"/>
        <v>-0.88415619327710715</v>
      </c>
      <c r="H50" s="6"/>
      <c r="I50" s="6">
        <f t="shared" si="26"/>
        <v>0</v>
      </c>
      <c r="J50" s="5">
        <f t="shared" si="4"/>
        <v>0</v>
      </c>
      <c r="K50" s="126">
        <f t="shared" si="18"/>
        <v>0</v>
      </c>
      <c r="L50" s="5">
        <f t="shared" si="5"/>
        <v>0</v>
      </c>
      <c r="M50" s="5">
        <f t="shared" si="30"/>
        <v>0</v>
      </c>
      <c r="N50" s="5">
        <f t="shared" si="20"/>
        <v>0</v>
      </c>
      <c r="O50" s="81">
        <f t="shared" si="27"/>
        <v>0</v>
      </c>
      <c r="P50" s="81">
        <f t="shared" si="22"/>
        <v>0</v>
      </c>
      <c r="Q50" s="82">
        <f>IF(Listas!$H$21=Listas!$I$15,1,IF(B50&lt;=$C$21,ROUND((EOMONTH(A50,0)-EOMONTH(A49,0))/30,0),0))</f>
        <v>0</v>
      </c>
      <c r="R50" s="94"/>
      <c r="S50" s="185" t="str">
        <f t="shared" si="1"/>
        <v/>
      </c>
      <c r="T50" s="185"/>
      <c r="U50" s="143" t="str">
        <f t="shared" si="6"/>
        <v/>
      </c>
      <c r="V50" s="146">
        <f t="shared" si="7"/>
        <v>0</v>
      </c>
      <c r="W50" s="146">
        <f t="shared" ref="W50:W53" si="31">IF(U50=$C$21,V49,Z50-X50-Y50)</f>
        <v>0</v>
      </c>
      <c r="X50" s="144">
        <f t="shared" si="8"/>
        <v>0</v>
      </c>
      <c r="Y50" s="144">
        <f>IF($C$23=0,0,IF(OR(Listas!$K$6=Listas!$L$3,Listas!$K$6=Listas!$L$4),0,IF($C$23="",0,IF(Listas!$D$5=Listas!$C$3,ROUND(IF(U50&lt;=$C$21,IF(ROUND((V49/$T$120)*$C$23*AI50,2)&lt;(1/$T$120),ROUND((1/$T$120),2),ROUND((V49/$T$120)*$C$23,2)*AI50),0),2),IF(Listas!$D$5=Listas!$C$2,ROUND(IF(U50&lt;=$C$21,IF(ROUND(V49*$C$23*AI50,2)&lt;1,1,ROUND(V49*$C$23,2)*AI50),0),2))))))</f>
        <v>0</v>
      </c>
      <c r="Z50" s="146">
        <f t="shared" si="28"/>
        <v>0</v>
      </c>
      <c r="AA50" s="146">
        <f t="shared" si="29"/>
        <v>0</v>
      </c>
      <c r="AB50" s="146">
        <f t="shared" si="10"/>
        <v>0</v>
      </c>
      <c r="AC50" s="109"/>
      <c r="AD50" s="110"/>
      <c r="AG50" s="5">
        <f t="shared" si="11"/>
        <v>0</v>
      </c>
      <c r="AH50" s="5">
        <f t="shared" si="12"/>
        <v>0</v>
      </c>
      <c r="AI50" s="82">
        <f>IF(Listas!$H$21=Listas!$I$17,1,IF(U50&lt;=$C$21,ROUND((EOMONTH(S50,0)-EOMONTH(S49,0))/30,0),0))</f>
        <v>0</v>
      </c>
      <c r="AL50" s="77">
        <f t="shared" si="2"/>
        <v>0</v>
      </c>
      <c r="AN50" s="79"/>
      <c r="AP50" s="6">
        <f t="shared" si="13"/>
        <v>0</v>
      </c>
      <c r="AQ50" s="5">
        <f t="shared" si="14"/>
        <v>0</v>
      </c>
      <c r="AR50" s="79"/>
      <c r="AS50" s="79"/>
      <c r="AU50" s="83">
        <v>44746</v>
      </c>
      <c r="AV50" s="79">
        <v>8</v>
      </c>
      <c r="AW50" s="79">
        <v>94</v>
      </c>
      <c r="AX50" s="79">
        <v>84.92</v>
      </c>
      <c r="AY50" s="79">
        <v>8.08</v>
      </c>
      <c r="AZ50" s="79">
        <v>1</v>
      </c>
      <c r="BA50" s="79">
        <v>0</v>
      </c>
      <c r="BB50" s="79">
        <v>0</v>
      </c>
    </row>
    <row r="51" spans="1:54">
      <c r="A51" s="77" t="str">
        <f>IF(IFERROR(VLOOKUP(C51,Listas!AT:AV,3,FALSE),0)=1,IF(WEEKDAY(C51+1)=7,C51+2,C51+1),C51)</f>
        <v/>
      </c>
      <c r="B51" s="5">
        <v>10</v>
      </c>
      <c r="C51" s="80" t="str">
        <f>IF(B51&gt;$C$21,"",IF(Listas!$I$21=Listas!$I$17,IF(WEEKDAY(C50+$D$13)=1,C50+$D$13+1,C50+$D$13),IF(B51&lt;=$C$21,IF((DATE(YEAR(C50),MONTH(C50)+1,DAY($C$14))-C50)&gt;=27,IF(WEEKDAY(DATE(YEAR(C50),MONTH(C50)+1,DAY($C$14)))=1,DATE(YEAR(C50),MONTH(C50)+1,DAY($C$14)+1),DATE(YEAR(C50),MONTH(C50)+1,DAY($C$14))),DATE(YEAR(C50),MONTH(C50)+2,DAY($C$14))),"")))</f>
        <v/>
      </c>
      <c r="D51" s="6" t="str">
        <f t="shared" si="15"/>
        <v/>
      </c>
      <c r="E51" s="4" t="str">
        <f t="shared" si="3"/>
        <v/>
      </c>
      <c r="F51" s="4">
        <f>IF($C$23=0,0,IF(OR(Listas!$K$6=Listas!$L$3,Listas!$K$6=Listas!$L$4),0,IF($C$23="",0,IF(Listas!$D$5=Listas!$C$3,ROUND(IF(B51&lt;=$C$21,IF(ROUND((D50/$T$120)*$C$23*Q51,2)&lt;(1/$T$120),ROUND((1/$T$120),2),ROUND((D50/$T$120)*$C$23,2)*Q51),0),2),IF(Listas!$D$5=Listas!$C$2,ROUND(IF(B51&lt;=$C$21,IF(ROUND(D50*$C$23*Q51,2)&lt;1,1,ROUND(D50*$C$23,2)*Q51),0),2))))))</f>
        <v>0</v>
      </c>
      <c r="G51" s="6" t="str">
        <f t="shared" si="25"/>
        <v/>
      </c>
      <c r="H51" s="6"/>
      <c r="I51" s="6">
        <f t="shared" si="26"/>
        <v>0</v>
      </c>
      <c r="J51" s="5">
        <f t="shared" si="4"/>
        <v>0</v>
      </c>
      <c r="K51" s="126">
        <f t="shared" si="18"/>
        <v>0</v>
      </c>
      <c r="L51" s="5">
        <f t="shared" si="5"/>
        <v>0</v>
      </c>
      <c r="M51" s="5">
        <f t="shared" si="30"/>
        <v>0</v>
      </c>
      <c r="N51" s="5">
        <f t="shared" si="20"/>
        <v>0</v>
      </c>
      <c r="O51" s="81">
        <f t="shared" si="27"/>
        <v>0</v>
      </c>
      <c r="P51" s="81">
        <f t="shared" si="22"/>
        <v>0</v>
      </c>
      <c r="Q51" s="82">
        <f>IF(Listas!$H$21=Listas!$I$15,1,IF(B51&lt;=$C$21,ROUND((EOMONTH(A51,0)-EOMONTH(A50,0))/30,0),0))</f>
        <v>0</v>
      </c>
      <c r="R51" s="94"/>
      <c r="S51" s="185" t="str">
        <f t="shared" si="1"/>
        <v/>
      </c>
      <c r="T51" s="185"/>
      <c r="U51" s="143" t="str">
        <f t="shared" si="6"/>
        <v/>
      </c>
      <c r="V51" s="146">
        <f t="shared" si="7"/>
        <v>0</v>
      </c>
      <c r="W51" s="146">
        <f t="shared" si="31"/>
        <v>0</v>
      </c>
      <c r="X51" s="144">
        <f t="shared" si="8"/>
        <v>0</v>
      </c>
      <c r="Y51" s="144">
        <f>IF($C$23=0,0,IF(OR(Listas!$K$6=Listas!$L$3,Listas!$K$6=Listas!$L$4),0,IF($C$23="",0,IF(Listas!$D$5=Listas!$C$3,ROUND(IF(U51&lt;=$C$21,IF(ROUND((V50/$T$120)*$C$23*AI51,2)&lt;(1/$T$120),ROUND((1/$T$120),2),ROUND((V50/$T$120)*$C$23,2)*AI51),0),2),IF(Listas!$D$5=Listas!$C$2,ROUND(IF(U51&lt;=$C$21,IF(ROUND(V50*$C$23*AI51,2)&lt;1,1,ROUND(V50*$C$23,2)*AI51),0),2))))))</f>
        <v>0</v>
      </c>
      <c r="Z51" s="146">
        <f t="shared" si="28"/>
        <v>0</v>
      </c>
      <c r="AA51" s="146">
        <f t="shared" si="29"/>
        <v>0</v>
      </c>
      <c r="AB51" s="146">
        <f t="shared" si="10"/>
        <v>0</v>
      </c>
      <c r="AC51" s="109"/>
      <c r="AD51" s="110"/>
      <c r="AG51" s="5">
        <f t="shared" si="11"/>
        <v>0</v>
      </c>
      <c r="AH51" s="5">
        <f t="shared" si="12"/>
        <v>0</v>
      </c>
      <c r="AI51" s="82">
        <f>IF(Listas!$H$21=Listas!$I$17,1,IF(U51&lt;=$C$21,ROUND((EOMONTH(S51,0)-EOMONTH(S50,0))/30,0),0))</f>
        <v>0</v>
      </c>
      <c r="AL51" s="77">
        <f t="shared" si="2"/>
        <v>0</v>
      </c>
      <c r="AN51" s="79"/>
      <c r="AP51" s="6">
        <f t="shared" si="13"/>
        <v>0</v>
      </c>
      <c r="AQ51" s="5">
        <f t="shared" si="14"/>
        <v>0</v>
      </c>
      <c r="AR51" s="79"/>
      <c r="AS51" s="79"/>
      <c r="AU51" s="83">
        <v>44776</v>
      </c>
      <c r="AV51" s="79">
        <v>9</v>
      </c>
      <c r="AW51" s="79">
        <v>94</v>
      </c>
      <c r="AX51" s="79">
        <v>86.67</v>
      </c>
      <c r="AY51" s="79">
        <v>6.33</v>
      </c>
      <c r="AZ51" s="79">
        <v>1</v>
      </c>
      <c r="BA51" s="79">
        <v>0</v>
      </c>
      <c r="BB51" s="79">
        <v>0</v>
      </c>
    </row>
    <row r="52" spans="1:54">
      <c r="A52" s="77" t="str">
        <f>IF(IFERROR(VLOOKUP(C52,Listas!AT:AV,3,FALSE),0)=1,IF(WEEKDAY(C52+1)=7,C52+2,C52+1),C52)</f>
        <v/>
      </c>
      <c r="B52" s="5">
        <v>11</v>
      </c>
      <c r="C52" s="80" t="str">
        <f>IF(B52&gt;$C$21,"",IF(Listas!$I$21=Listas!$I$17,IF(WEEKDAY(C51+$D$13)=1,C51+$D$13+1,C51+$D$13),IF(B52&lt;=$C$21,IF((DATE(YEAR(C51),MONTH(C51)+1,DAY($C$14))-C51)&gt;=27,IF(WEEKDAY(DATE(YEAR(C51),MONTH(C51)+1,DAY($C$14)))=1,DATE(YEAR(C51),MONTH(C51)+1,DAY($C$14)+1),DATE(YEAR(C51),MONTH(C51)+1,DAY($C$14))),DATE(YEAR(C51),MONTH(C51)+2,DAY($C$14))),"")))</f>
        <v/>
      </c>
      <c r="D52" s="6" t="str">
        <f t="shared" si="15"/>
        <v/>
      </c>
      <c r="E52" s="4" t="str">
        <f t="shared" si="3"/>
        <v/>
      </c>
      <c r="F52" s="4">
        <f>IF($C$23=0,0,IF(OR(Listas!$K$6=Listas!$L$3,Listas!$K$6=Listas!$L$4),0,IF($C$23="",0,IF(Listas!$D$5=Listas!$C$3,ROUND(IF(B52&lt;=$C$21,IF(ROUND((D51/$T$120)*$C$23*Q52,2)&lt;(1/$T$120),ROUND((1/$T$120),2),ROUND((D51/$T$120)*$C$23,2)*Q52),0),2),IF(Listas!$D$5=Listas!$C$2,ROUND(IF(B52&lt;=$C$21,IF(ROUND(D51*$C$23*Q52,2)&lt;1,1,ROUND(D51*$C$23,2)*Q52),0),2))))))</f>
        <v>0</v>
      </c>
      <c r="G52" s="6" t="str">
        <f t="shared" si="25"/>
        <v/>
      </c>
      <c r="H52" s="6"/>
      <c r="I52" s="6">
        <f t="shared" si="26"/>
        <v>0</v>
      </c>
      <c r="J52" s="5">
        <f t="shared" si="4"/>
        <v>0</v>
      </c>
      <c r="K52" s="126">
        <f t="shared" si="18"/>
        <v>0</v>
      </c>
      <c r="L52" s="5">
        <f t="shared" si="5"/>
        <v>0</v>
      </c>
      <c r="M52" s="5">
        <f t="shared" si="30"/>
        <v>0</v>
      </c>
      <c r="N52" s="5">
        <f t="shared" si="20"/>
        <v>0</v>
      </c>
      <c r="O52" s="81">
        <f t="shared" si="27"/>
        <v>0</v>
      </c>
      <c r="P52" s="81">
        <f t="shared" si="22"/>
        <v>0</v>
      </c>
      <c r="Q52" s="82">
        <f>IF(Listas!$H$21=Listas!$I$15,1,IF(B52&lt;=$C$21,ROUND((EOMONTH(A52,0)-EOMONTH(A51,0))/30,0),0))</f>
        <v>0</v>
      </c>
      <c r="R52" s="94"/>
      <c r="S52" s="185" t="str">
        <f t="shared" si="1"/>
        <v/>
      </c>
      <c r="T52" s="185"/>
      <c r="U52" s="143" t="str">
        <f t="shared" si="6"/>
        <v/>
      </c>
      <c r="V52" s="146">
        <f t="shared" si="7"/>
        <v>0</v>
      </c>
      <c r="W52" s="146">
        <f t="shared" si="31"/>
        <v>0</v>
      </c>
      <c r="X52" s="144">
        <f t="shared" si="8"/>
        <v>0</v>
      </c>
      <c r="Y52" s="144">
        <f>IF($C$23=0,0,IF(OR(Listas!$K$6=Listas!$L$3,Listas!$K$6=Listas!$L$4),0,IF($C$23="",0,IF(Listas!$D$5=Listas!$C$3,ROUND(IF(U52&lt;=$C$21,IF(ROUND((V51/$T$120)*$C$23*AI52,2)&lt;(1/$T$120),ROUND((1/$T$120),2),ROUND((V51/$T$120)*$C$23,2)*AI52),0),2),IF(Listas!$D$5=Listas!$C$2,ROUND(IF(U52&lt;=$C$21,IF(ROUND(V51*$C$23*AI52,2)&lt;1,1,ROUND(V51*$C$23,2)*AI52),0),2))))))</f>
        <v>0</v>
      </c>
      <c r="Z52" s="146">
        <f t="shared" si="28"/>
        <v>0</v>
      </c>
      <c r="AA52" s="146">
        <f t="shared" si="29"/>
        <v>0</v>
      </c>
      <c r="AB52" s="146">
        <f t="shared" si="10"/>
        <v>0</v>
      </c>
      <c r="AC52" s="109"/>
      <c r="AD52" s="110"/>
      <c r="AG52" s="5">
        <f t="shared" si="11"/>
        <v>0</v>
      </c>
      <c r="AH52" s="5">
        <f t="shared" si="12"/>
        <v>0</v>
      </c>
      <c r="AI52" s="82">
        <f>IF(Listas!$H$21=Listas!$I$17,1,IF(U52&lt;=$C$21,ROUND((EOMONTH(S52,0)-EOMONTH(S51,0))/30,0),0))</f>
        <v>0</v>
      </c>
      <c r="AL52" s="77">
        <f t="shared" si="2"/>
        <v>0</v>
      </c>
      <c r="AN52" s="79"/>
      <c r="AP52" s="6">
        <f t="shared" si="13"/>
        <v>0</v>
      </c>
      <c r="AQ52" s="5">
        <f t="shared" si="14"/>
        <v>0</v>
      </c>
      <c r="AR52" s="79"/>
      <c r="AS52" s="79"/>
      <c r="AU52" s="83">
        <v>44807</v>
      </c>
      <c r="AV52" s="79">
        <v>10</v>
      </c>
      <c r="AW52" s="79">
        <v>94</v>
      </c>
      <c r="AX52" s="79">
        <v>88.02</v>
      </c>
      <c r="AY52" s="79">
        <v>4.9800000000000004</v>
      </c>
      <c r="AZ52" s="79">
        <v>1</v>
      </c>
      <c r="BA52" s="79">
        <v>0</v>
      </c>
      <c r="BB52" s="79">
        <v>0</v>
      </c>
    </row>
    <row r="53" spans="1:54" ht="15" thickBot="1">
      <c r="A53" s="77" t="str">
        <f>IF(IFERROR(VLOOKUP(C53,Listas!AT:AV,3,FALSE),0)=1,IF(WEEKDAY(C53+1)=7,C53+2,C53+1),C53)</f>
        <v/>
      </c>
      <c r="B53" s="5">
        <v>12</v>
      </c>
      <c r="C53" s="80" t="str">
        <f>IF(B53&gt;$C$21,"",IF(Listas!$I$21=Listas!$I$17,IF(WEEKDAY(C52+$D$13)=1,C52+$D$13+1,C52+$D$13),IF(B53&lt;=$C$21,IF((DATE(YEAR(C52),MONTH(C52)+1,DAY($C$14))-C52)&gt;=27,IF(WEEKDAY(DATE(YEAR(C52),MONTH(C52)+1,DAY($C$14)))=1,DATE(YEAR(C52),MONTH(C52)+1,DAY($C$14)+1),DATE(YEAR(C52),MONTH(C52)+1,DAY($C$14))),DATE(YEAR(C52),MONTH(C52)+2,DAY($C$14))),"")))</f>
        <v/>
      </c>
      <c r="D53" s="6" t="str">
        <f t="shared" si="15"/>
        <v/>
      </c>
      <c r="E53" s="4" t="str">
        <f t="shared" si="3"/>
        <v/>
      </c>
      <c r="F53" s="4">
        <f>IF($C$23=0,0,IF(OR(Listas!$K$6=Listas!$L$3,Listas!$K$6=Listas!$L$4),0,IF($C$23="",0,IF(Listas!$D$5=Listas!$C$3,ROUND(IF(B53&lt;=$C$21,IF(ROUND((D52/$T$120)*$C$23*Q53,2)&lt;(1/$T$120),ROUND((1/$T$120),2),ROUND((D52/$T$120)*$C$23,2)*Q53),0),2),IF(Listas!$D$5=Listas!$C$2,ROUND(IF(B53&lt;=$C$21,IF(ROUND(D52*$C$23*Q53,2)&lt;1,1,ROUND(D52*$C$23,2)*Q53),0),2))))))</f>
        <v>0</v>
      </c>
      <c r="G53" s="6" t="str">
        <f t="shared" si="25"/>
        <v/>
      </c>
      <c r="H53" s="6"/>
      <c r="I53" s="6">
        <f t="shared" si="26"/>
        <v>0</v>
      </c>
      <c r="J53" s="5">
        <f t="shared" si="4"/>
        <v>0</v>
      </c>
      <c r="K53" s="126">
        <f t="shared" si="18"/>
        <v>0</v>
      </c>
      <c r="L53" s="5">
        <f t="shared" si="5"/>
        <v>0</v>
      </c>
      <c r="M53" s="5">
        <f t="shared" si="30"/>
        <v>0</v>
      </c>
      <c r="N53" s="5">
        <f t="shared" si="20"/>
        <v>0</v>
      </c>
      <c r="O53" s="81">
        <f t="shared" si="27"/>
        <v>0</v>
      </c>
      <c r="P53" s="81">
        <f t="shared" si="22"/>
        <v>0</v>
      </c>
      <c r="Q53" s="82">
        <f>IF(Listas!$H$21=Listas!$I$15,1,IF(B53&lt;=$C$21,ROUND((EOMONTH(A53,0)-EOMONTH(A52,0))/30,0),0))</f>
        <v>0</v>
      </c>
      <c r="R53" s="94"/>
      <c r="S53" s="192" t="str">
        <f t="shared" si="1"/>
        <v/>
      </c>
      <c r="T53" s="192"/>
      <c r="U53" s="147" t="str">
        <f t="shared" si="6"/>
        <v/>
      </c>
      <c r="V53" s="148">
        <f t="shared" si="7"/>
        <v>0</v>
      </c>
      <c r="W53" s="148">
        <f t="shared" si="31"/>
        <v>0</v>
      </c>
      <c r="X53" s="149">
        <f t="shared" si="8"/>
        <v>0</v>
      </c>
      <c r="Y53" s="149">
        <f>IF($C$23=0,0,IF(OR(Listas!$K$6=Listas!$L$3,Listas!$K$6=Listas!$L$4),0,IF($C$23="",0,IF(Listas!$D$5=Listas!$C$3,ROUND(IF(U53&lt;=$C$21,IF(ROUND((V52/$T$120)*$C$23*AI53,2)&lt;(1/$T$120),ROUND((1/$T$120),2),ROUND((V52/$T$120)*$C$23,2)*AI53),0),2),IF(Listas!$D$5=Listas!$C$2,ROUND(IF(U53&lt;=$C$21,IF(ROUND(V52*$C$23*AI53,2)&lt;1,1,ROUND(V52*$C$23,2)*AI53),0),2))))))</f>
        <v>0</v>
      </c>
      <c r="Z53" s="148">
        <f t="shared" si="28"/>
        <v>0</v>
      </c>
      <c r="AA53" s="148">
        <f t="shared" si="29"/>
        <v>0</v>
      </c>
      <c r="AB53" s="148">
        <f t="shared" si="10"/>
        <v>0</v>
      </c>
      <c r="AC53" s="109"/>
      <c r="AD53" s="139" t="str">
        <f t="shared" ref="AD53:AD84" si="32">S53</f>
        <v/>
      </c>
      <c r="AE53" s="40">
        <f t="shared" ref="AE53:AE84" si="33">IF(S53&lt;&gt;"",1,0)</f>
        <v>0</v>
      </c>
      <c r="AG53" s="5">
        <f t="shared" si="11"/>
        <v>0</v>
      </c>
      <c r="AH53" s="5">
        <f t="shared" si="12"/>
        <v>0</v>
      </c>
      <c r="AI53" s="82">
        <f>IF(Listas!$H$21=Listas!$I$17,1,IF(U53&lt;=$C$21,ROUND((EOMONTH(S53,0)-EOMONTH(S52,0))/30,0),0))</f>
        <v>0</v>
      </c>
      <c r="AL53" s="77">
        <f t="shared" si="2"/>
        <v>0</v>
      </c>
      <c r="AN53" s="79"/>
      <c r="AP53" s="6">
        <f t="shared" si="13"/>
        <v>0</v>
      </c>
      <c r="AQ53" s="5">
        <f t="shared" si="14"/>
        <v>0</v>
      </c>
      <c r="AR53" s="79"/>
      <c r="AS53" s="79"/>
      <c r="AU53" s="83">
        <v>44837</v>
      </c>
      <c r="AV53" s="79">
        <v>11</v>
      </c>
      <c r="AW53" s="79">
        <v>94</v>
      </c>
      <c r="AX53" s="79">
        <v>89.73</v>
      </c>
      <c r="AY53" s="79">
        <v>3.27</v>
      </c>
      <c r="AZ53" s="79">
        <v>1</v>
      </c>
      <c r="BA53" s="79">
        <v>0</v>
      </c>
      <c r="BB53" s="79">
        <v>0</v>
      </c>
    </row>
    <row r="54" spans="1:54">
      <c r="A54" s="77" t="str">
        <f>IF(IFERROR(VLOOKUP(C54,Listas!AT:AV,3,FALSE),0)=1,IF(WEEKDAY(C54+1)=7,C54+2,C54+1),C54)</f>
        <v/>
      </c>
      <c r="B54" s="5">
        <v>13</v>
      </c>
      <c r="C54" s="80" t="str">
        <f>IF(B54&gt;$C$21,"",IF(Listas!$I$21=Listas!$I$17,IF(WEEKDAY(C53+$D$13)=1,C53+$D$13+1,C53+$D$13),IF(B54&lt;=$C$21,IF((DATE(YEAR(C53),MONTH(C53)+1,DAY($C$14))-C53)&gt;=27,IF(WEEKDAY(DATE(YEAR(C53),MONTH(C53)+1,DAY($C$14)))=1,DATE(YEAR(C53),MONTH(C53)+1,DAY($C$14)+1),DATE(YEAR(C53),MONTH(C53)+1,DAY($C$14))),DATE(YEAR(C53),MONTH(C53)+2,DAY($C$14))),"")))</f>
        <v/>
      </c>
      <c r="D54" s="6" t="str">
        <f t="shared" si="15"/>
        <v/>
      </c>
      <c r="E54" s="4" t="str">
        <f t="shared" si="3"/>
        <v/>
      </c>
      <c r="F54" s="4">
        <f>IF($C$23=0,0,IF(OR(Listas!$K$6=Listas!$L$3,Listas!$K$6=Listas!$L$4),0,IF($C$23="",0,IF(Listas!$D$5=Listas!$C$3,ROUND(IF(B54&lt;=$C$21,IF(ROUND((D53/$T$120)*$C$23*Q54,2)&lt;(1/$T$120),ROUND((1/$T$120),2),ROUND((D53/$T$120)*$C$23,2)*Q54),0),2),IF(Listas!$D$5=Listas!$C$2,ROUND(IF(B54&lt;=$C$21,IF(ROUND(D53*$C$23*Q54,2)&lt;1,1,ROUND(D53*$C$23,2)*Q54),0),2))))))</f>
        <v>0</v>
      </c>
      <c r="G54" s="6" t="str">
        <f t="shared" si="25"/>
        <v/>
      </c>
      <c r="H54" s="6"/>
      <c r="I54" s="6">
        <f t="shared" si="26"/>
        <v>0</v>
      </c>
      <c r="J54" s="5">
        <f t="shared" si="4"/>
        <v>0</v>
      </c>
      <c r="K54" s="126">
        <f t="shared" si="18"/>
        <v>0</v>
      </c>
      <c r="L54" s="5">
        <f t="shared" si="5"/>
        <v>0</v>
      </c>
      <c r="M54" s="5">
        <f t="shared" si="30"/>
        <v>0</v>
      </c>
      <c r="N54" s="5">
        <f t="shared" si="20"/>
        <v>0</v>
      </c>
      <c r="O54" s="81">
        <f t="shared" si="27"/>
        <v>0</v>
      </c>
      <c r="P54" s="81">
        <f t="shared" si="22"/>
        <v>0</v>
      </c>
      <c r="Q54" s="82">
        <f>IF(Listas!$H$21=Listas!$I$15,1,IF(B54&lt;=$C$21,ROUND((EOMONTH(A54,0)-EOMONTH(A53,0))/30,0),0))</f>
        <v>0</v>
      </c>
      <c r="R54" s="138"/>
      <c r="S54" s="179" t="str">
        <f>IF(A53="","",IF(A54="","Total",A54))</f>
        <v/>
      </c>
      <c r="T54" s="179"/>
      <c r="U54" s="140" t="str">
        <f t="shared" si="6"/>
        <v/>
      </c>
      <c r="V54" s="141" t="str">
        <f>IF(U53="","",IF(U54&lt;=$C$21,V53-W54,0))</f>
        <v/>
      </c>
      <c r="W54" s="141" t="str">
        <f>IF(U53="","",IF(U54="",SUM($W$42:W53),IF(U54=$C$21,V53,Z54-X54-Y54)))</f>
        <v/>
      </c>
      <c r="X54" s="142" t="str">
        <f>IF(U53="","",IF(U54="",SUM($X$42:X53),ROUND(((1+$C$24)^(AG54/30)-1)*V53,2)))</f>
        <v/>
      </c>
      <c r="Y54" s="142">
        <f>IF($C$23=0,0,IF(OR(Listas!$K$6=Listas!$L$3,Listas!$K$6=Listas!$L$4),0,IF($C$23="",0,IF(Listas!$D$5=Listas!$C$3,ROUND(IF(U54&lt;=$C$21,IF(ROUND((V53/$T$120)*$C$23*AI54,2)&lt;(1/$T$120),ROUND((1/$T$120),2),ROUND((V53/$T$120)*$C$23,2)*AI54),0),2),IF(Listas!$D$5=Listas!$C$2,ROUND(IF(U54&lt;=$C$21,IF(ROUND(V53*$C$23*AI54,2)&lt;1,1,ROUND(V53*$C$23,2)*AI54),0),2))))))</f>
        <v>0</v>
      </c>
      <c r="Z54" s="141" t="str">
        <f>IF(U53="","",IF(U54="",SUM($Z$42:Z53),IF(U54=$C$21,SUM(W54,X54,Y54,AQ54),IF(U54&lt;$C$21,$C$34,0))))</f>
        <v/>
      </c>
      <c r="AA54" s="141" t="str">
        <f>IF(U53="","",IF(U54="",SUM($AA$42:AA53),IF(U54&lt;=$C$21,$C$17,0)))</f>
        <v/>
      </c>
      <c r="AB54" s="141">
        <f t="shared" si="10"/>
        <v>0</v>
      </c>
      <c r="AC54" s="109"/>
      <c r="AD54" s="139" t="str">
        <f t="shared" si="32"/>
        <v/>
      </c>
      <c r="AE54" s="40">
        <f t="shared" si="33"/>
        <v>0</v>
      </c>
      <c r="AG54" s="5">
        <f t="shared" si="11"/>
        <v>0</v>
      </c>
      <c r="AH54" s="5">
        <f t="shared" si="12"/>
        <v>0</v>
      </c>
      <c r="AI54" s="82">
        <f>IF(Listas!$H$21=Listas!$I$17,1,IF(U54&lt;=$C$21,ROUND((EOMONTH(S54,0)-EOMONTH(S53,0))/30,0),0))</f>
        <v>0</v>
      </c>
      <c r="AL54" s="77">
        <f t="shared" si="2"/>
        <v>0</v>
      </c>
      <c r="AN54" s="84"/>
      <c r="AP54" s="6">
        <f t="shared" si="13"/>
        <v>0</v>
      </c>
      <c r="AQ54" s="5">
        <f t="shared" si="14"/>
        <v>0</v>
      </c>
      <c r="AR54" s="84"/>
      <c r="AS54" s="85"/>
      <c r="AU54" s="83">
        <v>44868</v>
      </c>
      <c r="AV54" s="79">
        <v>12</v>
      </c>
      <c r="AW54" s="79">
        <v>100.11</v>
      </c>
      <c r="AX54" s="79">
        <v>97.35</v>
      </c>
      <c r="AY54" s="79">
        <v>1.76</v>
      </c>
      <c r="AZ54" s="79">
        <v>1</v>
      </c>
      <c r="BA54" s="79">
        <v>0</v>
      </c>
      <c r="BB54" s="79">
        <v>0</v>
      </c>
    </row>
    <row r="55" spans="1:54">
      <c r="A55" s="77" t="str">
        <f>IF(IFERROR(VLOOKUP(C55,Listas!AT:AV,3,FALSE),0)=1,IF(WEEKDAY(C55+1)=7,C55+2,C55+1),C55)</f>
        <v/>
      </c>
      <c r="B55" s="5">
        <v>14</v>
      </c>
      <c r="C55" s="80" t="str">
        <f>IF(B55&gt;$C$21,"",IF(Listas!$I$21=Listas!$I$17,IF(WEEKDAY(C54+$D$13)=1,C54+$D$13+1,C54+$D$13),IF(B55&lt;=$C$21,IF((DATE(YEAR(C54),MONTH(C54)+1,DAY($C$14))-C54)&gt;=27,IF(WEEKDAY(DATE(YEAR(C54),MONTH(C54)+1,DAY($C$14)))=1,DATE(YEAR(C54),MONTH(C54)+1,DAY($C$14)+1),DATE(YEAR(C54),MONTH(C54)+1,DAY($C$14))),DATE(YEAR(C54),MONTH(C54)+2,DAY($C$14))),"")))</f>
        <v/>
      </c>
      <c r="D55" s="6" t="str">
        <f t="shared" si="15"/>
        <v/>
      </c>
      <c r="E55" s="4" t="str">
        <f t="shared" si="3"/>
        <v/>
      </c>
      <c r="F55" s="4">
        <f>IF($C$23=0,0,IF(OR(Listas!$K$6=Listas!$L$3,Listas!$K$6=Listas!$L$4),0,IF($C$23="",0,IF(Listas!$D$5=Listas!$C$3,ROUND(IF(B55&lt;=$C$21,IF(ROUND((D54/$T$120)*$C$23*Q55,2)&lt;(1/$T$120),ROUND((1/$T$120),2),ROUND((D54/$T$120)*$C$23,2)*Q55),0),2),IF(Listas!$D$5=Listas!$C$2,ROUND(IF(B55&lt;=$C$21,IF(ROUND(D54*$C$23*Q55,2)&lt;1,1,ROUND(D54*$C$23,2)*Q55),0),2))))))</f>
        <v>0</v>
      </c>
      <c r="G55" s="6" t="str">
        <f t="shared" si="25"/>
        <v/>
      </c>
      <c r="H55" s="6"/>
      <c r="I55" s="6">
        <f t="shared" si="26"/>
        <v>0</v>
      </c>
      <c r="J55" s="5">
        <f t="shared" si="4"/>
        <v>0</v>
      </c>
      <c r="K55" s="126">
        <f t="shared" si="18"/>
        <v>0</v>
      </c>
      <c r="L55" s="5">
        <f t="shared" si="5"/>
        <v>0</v>
      </c>
      <c r="M55" s="5">
        <f t="shared" si="30"/>
        <v>0</v>
      </c>
      <c r="N55" s="5">
        <f t="shared" si="20"/>
        <v>0</v>
      </c>
      <c r="O55" s="81">
        <f t="shared" si="27"/>
        <v>0</v>
      </c>
      <c r="P55" s="81">
        <f t="shared" si="22"/>
        <v>0</v>
      </c>
      <c r="Q55" s="82">
        <f>IF(Listas!$H$21=Listas!$I$15,1,IF(B55&lt;=$C$21,ROUND((EOMONTH(A55,0)-EOMONTH(A54,0))/30,0),0))</f>
        <v>0</v>
      </c>
      <c r="R55" s="138"/>
      <c r="S55" s="179" t="str">
        <f t="shared" ref="S55:S114" si="34">IF(A54="","",IF(A55="","Total",A55))</f>
        <v/>
      </c>
      <c r="T55" s="179"/>
      <c r="U55" s="140" t="str">
        <f t="shared" ref="U55:U114" si="35">IF(C55="","",B55)</f>
        <v/>
      </c>
      <c r="V55" s="141" t="str">
        <f t="shared" ref="V55:V114" si="36">IF(U54="","",IF(U55&lt;=$C$21,V54-W55,0))</f>
        <v/>
      </c>
      <c r="W55" s="141" t="str">
        <f>IF(U54="","",IF(U55="",SUM($W$42:W54),IF(U55=$C$21,V54,Z55-X55-Y55)))</f>
        <v/>
      </c>
      <c r="X55" s="142" t="str">
        <f>IF(U54="","",IF(U55="",SUM($X$42:X54),ROUND(((1+$C$24)^(AG55/30)-1)*V54,2)))</f>
        <v/>
      </c>
      <c r="Y55" s="142">
        <f>IF($C$23=0,0,IF(OR(Listas!$K$6=Listas!$L$3,Listas!$K$6=Listas!$L$4),0,IF($C$23="",0,IF(Listas!$D$5=Listas!$C$3,ROUND(IF(U55&lt;=$C$21,IF(ROUND((V54/$T$120)*$C$23*AI55,2)&lt;(1/$T$120),ROUND((1/$T$120),2),ROUND((V54/$T$120)*$C$23,2)*AI55),0),2),IF(Listas!$D$5=Listas!$C$2,ROUND(IF(U55&lt;=$C$21,IF(ROUND(V54*$C$23*AI55,2)&lt;1,1,ROUND(V54*$C$23,2)*AI55),0),2))))))</f>
        <v>0</v>
      </c>
      <c r="Z55" s="141" t="str">
        <f>IF(U54="","",IF(U55="",SUM($Z$42:Z54),IF(U55=$C$21,SUM(W55,X55,Y55,AQ55),IF(U55&lt;$C$21,$C$34,0))))</f>
        <v/>
      </c>
      <c r="AA55" s="141" t="str">
        <f>IF(U54="","",IF(U55="",SUM($AA$42:AA54),IF(U55&lt;=$C$21,$C$17,0)))</f>
        <v/>
      </c>
      <c r="AB55" s="141">
        <f t="shared" si="10"/>
        <v>0</v>
      </c>
      <c r="AC55" s="109"/>
      <c r="AD55" s="139" t="str">
        <f t="shared" si="32"/>
        <v/>
      </c>
      <c r="AE55" s="40">
        <f t="shared" si="33"/>
        <v>0</v>
      </c>
      <c r="AG55" s="5">
        <f t="shared" si="11"/>
        <v>0</v>
      </c>
      <c r="AH55" s="5">
        <f t="shared" si="12"/>
        <v>0</v>
      </c>
      <c r="AI55" s="82">
        <f>IF(Listas!$H$21=Listas!$I$17,1,IF(U55&lt;=$C$21,ROUND((EOMONTH(S55,0)-EOMONTH(S54,0))/30,0),0))</f>
        <v>0</v>
      </c>
      <c r="AL55" s="77">
        <f t="shared" si="2"/>
        <v>0</v>
      </c>
      <c r="AN55" s="86"/>
      <c r="AP55" s="6">
        <f t="shared" si="13"/>
        <v>0</v>
      </c>
      <c r="AQ55" s="5">
        <f t="shared" si="14"/>
        <v>0</v>
      </c>
      <c r="AS55" s="86"/>
      <c r="AU55" s="86"/>
      <c r="AW55" s="86"/>
    </row>
    <row r="56" spans="1:54">
      <c r="A56" s="77" t="str">
        <f>IF(IFERROR(VLOOKUP(C56,Listas!AT:AV,3,FALSE),0)=1,IF(WEEKDAY(C56+1)=7,C56+2,C56+1),C56)</f>
        <v/>
      </c>
      <c r="B56" s="5">
        <v>15</v>
      </c>
      <c r="C56" s="80" t="str">
        <f>IF(B56&gt;$C$21,"",IF(Listas!$I$21=Listas!$I$17,IF(WEEKDAY(C55+$D$13)=1,C55+$D$13+1,C55+$D$13),IF(B56&lt;=$C$21,IF((DATE(YEAR(C55),MONTH(C55)+1,DAY($C$14))-C55)&gt;=27,IF(WEEKDAY(DATE(YEAR(C55),MONTH(C55)+1,DAY($C$14)))=1,DATE(YEAR(C55),MONTH(C55)+1,DAY($C$14)+1),DATE(YEAR(C55),MONTH(C55)+1,DAY($C$14))),DATE(YEAR(C55),MONTH(C55)+2,DAY($C$14))),"")))</f>
        <v/>
      </c>
      <c r="D56" s="6" t="str">
        <f t="shared" si="15"/>
        <v/>
      </c>
      <c r="E56" s="4" t="str">
        <f t="shared" si="3"/>
        <v/>
      </c>
      <c r="F56" s="4">
        <f>IF($C$23=0,0,IF(OR(Listas!$K$6=Listas!$L$3,Listas!$K$6=Listas!$L$4),0,IF($C$23="",0,IF(Listas!$D$5=Listas!$C$3,ROUND(IF(B56&lt;=$C$21,IF(ROUND((D55/$T$120)*$C$23*Q56,2)&lt;(1/$T$120),ROUND((1/$T$120),2),ROUND((D55/$T$120)*$C$23,2)*Q56),0),2),IF(Listas!$D$5=Listas!$C$2,ROUND(IF(B56&lt;=$C$21,IF(ROUND(D55*$C$23*Q56,2)&lt;1,1,ROUND(D55*$C$23,2)*Q56),0),2))))))</f>
        <v>0</v>
      </c>
      <c r="G56" s="6" t="str">
        <f t="shared" si="25"/>
        <v/>
      </c>
      <c r="H56" s="6"/>
      <c r="I56" s="6">
        <f t="shared" si="26"/>
        <v>0</v>
      </c>
      <c r="J56" s="5">
        <f t="shared" si="4"/>
        <v>0</v>
      </c>
      <c r="K56" s="126">
        <f t="shared" si="18"/>
        <v>0</v>
      </c>
      <c r="L56" s="5">
        <f t="shared" si="5"/>
        <v>0</v>
      </c>
      <c r="M56" s="5">
        <f t="shared" si="30"/>
        <v>0</v>
      </c>
      <c r="N56" s="5">
        <f t="shared" si="20"/>
        <v>0</v>
      </c>
      <c r="O56" s="81">
        <f t="shared" si="27"/>
        <v>0</v>
      </c>
      <c r="P56" s="81">
        <f t="shared" si="22"/>
        <v>0</v>
      </c>
      <c r="Q56" s="82">
        <f>IF(Listas!$H$21=Listas!$I$15,1,IF(B56&lt;=$C$21,ROUND((EOMONTH(A56,0)-EOMONTH(A55,0))/30,0),0))</f>
        <v>0</v>
      </c>
      <c r="R56" s="138"/>
      <c r="S56" s="179" t="str">
        <f t="shared" si="34"/>
        <v/>
      </c>
      <c r="T56" s="179"/>
      <c r="U56" s="140" t="str">
        <f t="shared" si="35"/>
        <v/>
      </c>
      <c r="V56" s="141" t="str">
        <f t="shared" si="36"/>
        <v/>
      </c>
      <c r="W56" s="141" t="str">
        <f>IF(U55="","",IF(U56="",SUM($W$42:W55),IF(U56=$C$21,V55,Z56-X56-Y56)))</f>
        <v/>
      </c>
      <c r="X56" s="142" t="str">
        <f>IF(U55="","",IF(U56="",SUM($X$42:X55),ROUND(((1+$C$24)^(AG56/30)-1)*V55,2)))</f>
        <v/>
      </c>
      <c r="Y56" s="142">
        <f>IF($C$23=0,0,IF(OR(Listas!$K$6=Listas!$L$3,Listas!$K$6=Listas!$L$4),0,IF($C$23="",0,IF(Listas!$D$5=Listas!$C$3,ROUND(IF(U56&lt;=$C$21,IF(ROUND((V55/$T$120)*$C$23*AI56,2)&lt;(1/$T$120),ROUND((1/$T$120),2),ROUND((V55/$T$120)*$C$23,2)*AI56),0),2),IF(Listas!$D$5=Listas!$C$2,ROUND(IF(U56&lt;=$C$21,IF(ROUND(V55*$C$23*AI56,2)&lt;1,1,ROUND(V55*$C$23,2)*AI56),0),2))))))</f>
        <v>0</v>
      </c>
      <c r="Z56" s="141" t="str">
        <f>IF(U55="","",IF(U56="",SUM($Z$42:Z55),IF(U56=$C$21,SUM(W56,X56,Y56,AQ56),IF(U56&lt;$C$21,$C$34,0))))</f>
        <v/>
      </c>
      <c r="AA56" s="141" t="str">
        <f>IF(U55="","",IF(U56="",SUM($AA$42:AA55),IF(U56&lt;=$C$21,$C$17,0)))</f>
        <v/>
      </c>
      <c r="AB56" s="141">
        <f t="shared" si="10"/>
        <v>0</v>
      </c>
      <c r="AC56" s="109"/>
      <c r="AD56" s="139" t="str">
        <f t="shared" si="32"/>
        <v/>
      </c>
      <c r="AE56" s="40">
        <f t="shared" si="33"/>
        <v>0</v>
      </c>
      <c r="AG56" s="5">
        <f t="shared" si="11"/>
        <v>0</v>
      </c>
      <c r="AH56" s="5">
        <f t="shared" si="12"/>
        <v>0</v>
      </c>
      <c r="AI56" s="82">
        <f>IF(Listas!$H$21=Listas!$I$17,1,IF(U56&lt;=$C$21,ROUND((EOMONTH(S56,0)-EOMONTH(S55,0))/30,0),0))</f>
        <v>0</v>
      </c>
      <c r="AL56" s="77">
        <f t="shared" si="2"/>
        <v>0</v>
      </c>
      <c r="AN56" s="86"/>
      <c r="AP56" s="6">
        <f t="shared" si="13"/>
        <v>0</v>
      </c>
      <c r="AQ56" s="5">
        <f t="shared" si="14"/>
        <v>0</v>
      </c>
      <c r="AS56" s="86"/>
      <c r="AU56" s="86"/>
      <c r="AW56" s="86"/>
    </row>
    <row r="57" spans="1:54">
      <c r="A57" s="77" t="str">
        <f>IF(IFERROR(VLOOKUP(C57,Listas!AT:AV,3,FALSE),0)=1,IF(WEEKDAY(C57+1)=7,C57+2,C57+1),C57)</f>
        <v/>
      </c>
      <c r="B57" s="5">
        <v>16</v>
      </c>
      <c r="C57" s="80" t="str">
        <f>IF(B57&gt;$C$21,"",IF(Listas!$I$21=Listas!$I$17,IF(WEEKDAY(C56+$D$13)=1,C56+$D$13+1,C56+$D$13),IF(B57&lt;=$C$21,IF((DATE(YEAR(C56),MONTH(C56)+1,DAY($C$14))-C56)&gt;=27,IF(WEEKDAY(DATE(YEAR(C56),MONTH(C56)+1,DAY($C$14)))=1,DATE(YEAR(C56),MONTH(C56)+1,DAY($C$14)+1),DATE(YEAR(C56),MONTH(C56)+1,DAY($C$14))),DATE(YEAR(C56),MONTH(C56)+2,DAY($C$14))),"")))</f>
        <v/>
      </c>
      <c r="D57" s="6" t="str">
        <f t="shared" si="15"/>
        <v/>
      </c>
      <c r="E57" s="4" t="str">
        <f t="shared" si="3"/>
        <v/>
      </c>
      <c r="F57" s="4">
        <f>IF($C$23=0,0,IF(OR(Listas!$K$6=Listas!$L$3,Listas!$K$6=Listas!$L$4),0,IF($C$23="",0,IF(Listas!$D$5=Listas!$C$3,ROUND(IF(B57&lt;=$C$21,IF(ROUND((D56/$T$120)*$C$23*Q57,2)&lt;(1/$T$120),ROUND((1/$T$120),2),ROUND((D56/$T$120)*$C$23,2)*Q57),0),2),IF(Listas!$D$5=Listas!$C$2,ROUND(IF(B57&lt;=$C$21,IF(ROUND(D56*$C$23*Q57,2)&lt;1,1,ROUND(D56*$C$23,2)*Q57),0),2))))))</f>
        <v>0</v>
      </c>
      <c r="G57" s="6" t="str">
        <f t="shared" si="25"/>
        <v/>
      </c>
      <c r="H57" s="6"/>
      <c r="I57" s="6">
        <f t="shared" si="26"/>
        <v>0</v>
      </c>
      <c r="J57" s="5">
        <f t="shared" si="4"/>
        <v>0</v>
      </c>
      <c r="K57" s="126">
        <f t="shared" si="18"/>
        <v>0</v>
      </c>
      <c r="L57" s="5">
        <f t="shared" si="5"/>
        <v>0</v>
      </c>
      <c r="M57" s="5">
        <f t="shared" si="30"/>
        <v>0</v>
      </c>
      <c r="N57" s="5">
        <f t="shared" si="20"/>
        <v>0</v>
      </c>
      <c r="O57" s="81">
        <f t="shared" si="27"/>
        <v>0</v>
      </c>
      <c r="P57" s="81">
        <f t="shared" si="22"/>
        <v>0</v>
      </c>
      <c r="Q57" s="82">
        <f>IF(Listas!$H$21=Listas!$I$15,1,IF(B57&lt;=$C$21,ROUND((EOMONTH(A57,0)-EOMONTH(A56,0))/30,0),0))</f>
        <v>0</v>
      </c>
      <c r="R57" s="138"/>
      <c r="S57" s="179" t="str">
        <f t="shared" si="34"/>
        <v/>
      </c>
      <c r="T57" s="179"/>
      <c r="U57" s="140" t="str">
        <f t="shared" si="35"/>
        <v/>
      </c>
      <c r="V57" s="141" t="str">
        <f t="shared" si="36"/>
        <v/>
      </c>
      <c r="W57" s="141" t="str">
        <f>IF(U56="","",IF(U57="",SUM($W$42:W56),IF(U57=$C$21,V56,Z57-X57-Y57)))</f>
        <v/>
      </c>
      <c r="X57" s="142" t="str">
        <f>IF(U56="","",IF(U57="",SUM($X$42:X56),ROUND(((1+$C$24)^(AG57/30)-1)*V56,2)))</f>
        <v/>
      </c>
      <c r="Y57" s="142">
        <f>IF($C$23=0,0,IF(OR(Listas!$K$6=Listas!$L$3,Listas!$K$6=Listas!$L$4),0,IF($C$23="",0,IF(Listas!$D$5=Listas!$C$3,ROUND(IF(U57&lt;=$C$21,IF(ROUND((V56/$T$120)*$C$23*AI57,2)&lt;(1/$T$120),ROUND((1/$T$120),2),ROUND((V56/$T$120)*$C$23,2)*AI57),0),2),IF(Listas!$D$5=Listas!$C$2,ROUND(IF(U57&lt;=$C$21,IF(ROUND(V56*$C$23*AI57,2)&lt;1,1,ROUND(V56*$C$23,2)*AI57),0),2))))))</f>
        <v>0</v>
      </c>
      <c r="Z57" s="141" t="str">
        <f>IF(U56="","",IF(U57="",SUM($Z$42:Z56),IF(U57=$C$21,SUM(W57,X57,Y57,AQ57),IF(U57&lt;$C$21,$C$34,0))))</f>
        <v/>
      </c>
      <c r="AA57" s="141" t="str">
        <f>IF(U56="","",IF(U57="",SUM($AA$42:AA56),IF(U57&lt;=$C$21,$C$17,0)))</f>
        <v/>
      </c>
      <c r="AB57" s="141">
        <f t="shared" si="10"/>
        <v>0</v>
      </c>
      <c r="AC57" s="109"/>
      <c r="AD57" s="139" t="str">
        <f t="shared" si="32"/>
        <v/>
      </c>
      <c r="AE57" s="40">
        <f t="shared" si="33"/>
        <v>0</v>
      </c>
      <c r="AG57" s="5">
        <f t="shared" si="11"/>
        <v>0</v>
      </c>
      <c r="AH57" s="5">
        <f t="shared" si="12"/>
        <v>0</v>
      </c>
      <c r="AI57" s="82">
        <f>IF(Listas!$H$21=Listas!$I$17,1,IF(U57&lt;=$C$21,ROUND((EOMONTH(S57,0)-EOMONTH(S56,0))/30,0),0))</f>
        <v>0</v>
      </c>
      <c r="AL57" s="77">
        <f t="shared" si="2"/>
        <v>0</v>
      </c>
      <c r="AN57" s="86"/>
      <c r="AP57" s="6">
        <f t="shared" si="13"/>
        <v>0</v>
      </c>
      <c r="AQ57" s="5">
        <f t="shared" si="14"/>
        <v>0</v>
      </c>
      <c r="AS57" s="86"/>
      <c r="AU57" s="86"/>
      <c r="AW57" s="86"/>
    </row>
    <row r="58" spans="1:54">
      <c r="A58" s="77" t="str">
        <f>IF(IFERROR(VLOOKUP(C58,Listas!AT:AV,3,FALSE),0)=1,IF(WEEKDAY(C58+1)=7,C58+2,C58+1),C58)</f>
        <v/>
      </c>
      <c r="B58" s="5">
        <v>17</v>
      </c>
      <c r="C58" s="80" t="str">
        <f>IF(B58&gt;$C$21,"",IF(Listas!$I$21=Listas!$I$17,IF(WEEKDAY(C57+$D$13)=1,C57+$D$13+1,C57+$D$13),IF(B58&lt;=$C$21,IF((DATE(YEAR(C57),MONTH(C57)+1,DAY($C$14))-C57)&gt;=27,IF(WEEKDAY(DATE(YEAR(C57),MONTH(C57)+1,DAY($C$14)))=1,DATE(YEAR(C57),MONTH(C57)+1,DAY($C$14)+1),DATE(YEAR(C57),MONTH(C57)+1,DAY($C$14))),DATE(YEAR(C57),MONTH(C57)+2,DAY($C$14))),"")))</f>
        <v/>
      </c>
      <c r="D58" s="6" t="str">
        <f t="shared" si="15"/>
        <v/>
      </c>
      <c r="E58" s="4" t="str">
        <f t="shared" si="3"/>
        <v/>
      </c>
      <c r="F58" s="4">
        <f>IF($C$23=0,0,IF(OR(Listas!$K$6=Listas!$L$3,Listas!$K$6=Listas!$L$4),0,IF($C$23="",0,IF(Listas!$D$5=Listas!$C$3,ROUND(IF(B58&lt;=$C$21,IF(ROUND((D57/$T$120)*$C$23*Q58,2)&lt;(1/$T$120),ROUND((1/$T$120),2),ROUND((D57/$T$120)*$C$23,2)*Q58),0),2),IF(Listas!$D$5=Listas!$C$2,ROUND(IF(B58&lt;=$C$21,IF(ROUND(D57*$C$23*Q58,2)&lt;1,1,ROUND(D57*$C$23,2)*Q58),0),2))))))</f>
        <v>0</v>
      </c>
      <c r="G58" s="6" t="str">
        <f t="shared" si="25"/>
        <v/>
      </c>
      <c r="H58" s="6"/>
      <c r="I58" s="6">
        <f t="shared" si="26"/>
        <v>0</v>
      </c>
      <c r="J58" s="5">
        <f t="shared" si="4"/>
        <v>0</v>
      </c>
      <c r="K58" s="126">
        <f t="shared" si="18"/>
        <v>0</v>
      </c>
      <c r="L58" s="5">
        <f t="shared" si="5"/>
        <v>0</v>
      </c>
      <c r="M58" s="5">
        <f t="shared" si="30"/>
        <v>0</v>
      </c>
      <c r="N58" s="5">
        <f t="shared" si="20"/>
        <v>0</v>
      </c>
      <c r="O58" s="81">
        <f t="shared" si="27"/>
        <v>0</v>
      </c>
      <c r="P58" s="81">
        <f t="shared" si="22"/>
        <v>0</v>
      </c>
      <c r="Q58" s="82">
        <f>IF(Listas!$H$21=Listas!$I$15,1,IF(B58&lt;=$C$21,ROUND((EOMONTH(A58,0)-EOMONTH(A57,0))/30,0),0))</f>
        <v>0</v>
      </c>
      <c r="R58" s="138"/>
      <c r="S58" s="179" t="str">
        <f t="shared" si="34"/>
        <v/>
      </c>
      <c r="T58" s="179"/>
      <c r="U58" s="140" t="str">
        <f t="shared" si="35"/>
        <v/>
      </c>
      <c r="V58" s="141" t="str">
        <f t="shared" si="36"/>
        <v/>
      </c>
      <c r="W58" s="141" t="str">
        <f>IF(U57="","",IF(U58="",SUM($W$42:W57),IF(U58=$C$21,V57,Z58-X58-Y58)))</f>
        <v/>
      </c>
      <c r="X58" s="142" t="str">
        <f>IF(U57="","",IF(U58="",SUM($X$42:X57),ROUND(((1+$C$24)^(AG58/30)-1)*V57,2)))</f>
        <v/>
      </c>
      <c r="Y58" s="142">
        <f>IF($C$23=0,0,IF(OR(Listas!$K$6=Listas!$L$3,Listas!$K$6=Listas!$L$4),0,IF($C$23="",0,IF(Listas!$D$5=Listas!$C$3,ROUND(IF(U58&lt;=$C$21,IF(ROUND((V57/$T$120)*$C$23*AI58,2)&lt;(1/$T$120),ROUND((1/$T$120),2),ROUND((V57/$T$120)*$C$23,2)*AI58),0),2),IF(Listas!$D$5=Listas!$C$2,ROUND(IF(U58&lt;=$C$21,IF(ROUND(V57*$C$23*AI58,2)&lt;1,1,ROUND(V57*$C$23,2)*AI58),0),2))))))</f>
        <v>0</v>
      </c>
      <c r="Z58" s="141" t="str">
        <f>IF(U57="","",IF(U58="",SUM($Z$42:Z57),IF(U58=$C$21,SUM(W58,X58,Y58,AQ58),IF(U58&lt;$C$21,$C$34,0))))</f>
        <v/>
      </c>
      <c r="AA58" s="141" t="str">
        <f>IF(U57="","",IF(U58="",SUM($AA$42:AA57),IF(U58&lt;=$C$21,$C$17,0)))</f>
        <v/>
      </c>
      <c r="AB58" s="141">
        <f t="shared" si="10"/>
        <v>0</v>
      </c>
      <c r="AC58" s="109"/>
      <c r="AD58" s="139" t="str">
        <f t="shared" si="32"/>
        <v/>
      </c>
      <c r="AE58" s="40">
        <f t="shared" si="33"/>
        <v>0</v>
      </c>
      <c r="AG58" s="5">
        <f t="shared" si="11"/>
        <v>0</v>
      </c>
      <c r="AH58" s="5">
        <f t="shared" si="12"/>
        <v>0</v>
      </c>
      <c r="AI58" s="82">
        <f>IF(Listas!$H$21=Listas!$I$17,1,IF(U58&lt;=$C$21,ROUND((EOMONTH(S58,0)-EOMONTH(S57,0))/30,0),0))</f>
        <v>0</v>
      </c>
      <c r="AL58" s="77">
        <f t="shared" si="2"/>
        <v>0</v>
      </c>
      <c r="AN58" s="86"/>
      <c r="AP58" s="6">
        <f t="shared" si="13"/>
        <v>0</v>
      </c>
      <c r="AQ58" s="5">
        <f t="shared" si="14"/>
        <v>0</v>
      </c>
      <c r="AW58" s="86"/>
    </row>
    <row r="59" spans="1:54">
      <c r="A59" s="77" t="str">
        <f>IF(IFERROR(VLOOKUP(C59,Listas!AT:AV,3,FALSE),0)=1,IF(WEEKDAY(C59+1)=7,C59+2,C59+1),C59)</f>
        <v/>
      </c>
      <c r="B59" s="5">
        <v>18</v>
      </c>
      <c r="C59" s="80" t="str">
        <f>IF(B59&gt;$C$21,"",IF(Listas!$I$21=Listas!$I$17,IF(WEEKDAY(C58+$D$13)=1,C58+$D$13+1,C58+$D$13),IF(B59&lt;=$C$21,IF((DATE(YEAR(C58),MONTH(C58)+1,DAY($C$14))-C58)&gt;=27,IF(WEEKDAY(DATE(YEAR(C58),MONTH(C58)+1,DAY($C$14)))=1,DATE(YEAR(C58),MONTH(C58)+1,DAY($C$14)+1),DATE(YEAR(C58),MONTH(C58)+1,DAY($C$14))),DATE(YEAR(C58),MONTH(C58)+2,DAY($C$14))),"")))</f>
        <v/>
      </c>
      <c r="D59" s="6" t="str">
        <f t="shared" si="15"/>
        <v/>
      </c>
      <c r="E59" s="4" t="str">
        <f t="shared" si="3"/>
        <v/>
      </c>
      <c r="F59" s="4">
        <f>IF($C$23=0,0,IF(OR(Listas!$K$6=Listas!$L$3,Listas!$K$6=Listas!$L$4),0,IF($C$23="",0,IF(Listas!$D$5=Listas!$C$3,ROUND(IF(B59&lt;=$C$21,IF(ROUND((D58/$T$120)*$C$23*Q59,2)&lt;(1/$T$120),ROUND((1/$T$120),2),ROUND((D58/$T$120)*$C$23,2)*Q59),0),2),IF(Listas!$D$5=Listas!$C$2,ROUND(IF(B59&lt;=$C$21,IF(ROUND(D58*$C$23*Q59,2)&lt;1,1,ROUND(D58*$C$23,2)*Q59),0),2))))))</f>
        <v>0</v>
      </c>
      <c r="G59" s="6" t="str">
        <f t="shared" si="25"/>
        <v/>
      </c>
      <c r="H59" s="6"/>
      <c r="I59" s="6">
        <f t="shared" si="26"/>
        <v>0</v>
      </c>
      <c r="J59" s="5">
        <f t="shared" si="4"/>
        <v>0</v>
      </c>
      <c r="K59" s="126">
        <f t="shared" si="18"/>
        <v>0</v>
      </c>
      <c r="L59" s="5">
        <f t="shared" si="5"/>
        <v>0</v>
      </c>
      <c r="M59" s="5">
        <f t="shared" si="30"/>
        <v>0</v>
      </c>
      <c r="N59" s="5">
        <f t="shared" si="20"/>
        <v>0</v>
      </c>
      <c r="O59" s="81">
        <f t="shared" si="27"/>
        <v>0</v>
      </c>
      <c r="P59" s="81">
        <f t="shared" si="22"/>
        <v>0</v>
      </c>
      <c r="Q59" s="82">
        <f>IF(Listas!$H$21=Listas!$I$15,1,IF(B59&lt;=$C$21,ROUND((EOMONTH(A59,0)-EOMONTH(A58,0))/30,0),0))</f>
        <v>0</v>
      </c>
      <c r="R59" s="138"/>
      <c r="S59" s="179" t="str">
        <f t="shared" si="34"/>
        <v/>
      </c>
      <c r="T59" s="179"/>
      <c r="U59" s="140" t="str">
        <f t="shared" si="35"/>
        <v/>
      </c>
      <c r="V59" s="141" t="str">
        <f t="shared" si="36"/>
        <v/>
      </c>
      <c r="W59" s="141" t="str">
        <f>IF(U58="","",IF(U59="",SUM($W$42:W58),IF(U59=$C$21,V58,Z59-X59-Y59)))</f>
        <v/>
      </c>
      <c r="X59" s="142" t="str">
        <f>IF(U58="","",IF(U59="",SUM($X$42:X58),ROUND(((1+$C$24)^(AG59/30)-1)*V58,2)))</f>
        <v/>
      </c>
      <c r="Y59" s="142">
        <f>IF($C$23=0,0,IF(OR(Listas!$K$6=Listas!$L$3,Listas!$K$6=Listas!$L$4),0,IF($C$23="",0,IF(Listas!$D$5=Listas!$C$3,ROUND(IF(U59&lt;=$C$21,IF(ROUND((V58/$T$120)*$C$23*AI59,2)&lt;(1/$T$120),ROUND((1/$T$120),2),ROUND((V58/$T$120)*$C$23,2)*AI59),0),2),IF(Listas!$D$5=Listas!$C$2,ROUND(IF(U59&lt;=$C$21,IF(ROUND(V58*$C$23*AI59,2)&lt;1,1,ROUND(V58*$C$23,2)*AI59),0),2))))))</f>
        <v>0</v>
      </c>
      <c r="Z59" s="141" t="str">
        <f>IF(U58="","",IF(U59="",SUM($Z$42:Z58),IF(U59=$C$21,SUM(W59,X59,Y59,AQ59),IF(U59&lt;$C$21,$C$34,0))))</f>
        <v/>
      </c>
      <c r="AA59" s="141" t="str">
        <f>IF(U58="","",IF(U59="",SUM($AA$42:AA58),IF(U59&lt;=$C$21,$C$17,0)))</f>
        <v/>
      </c>
      <c r="AB59" s="141">
        <f t="shared" si="10"/>
        <v>0</v>
      </c>
      <c r="AC59" s="109"/>
      <c r="AD59" s="139" t="str">
        <f t="shared" si="32"/>
        <v/>
      </c>
      <c r="AE59" s="40">
        <f t="shared" si="33"/>
        <v>0</v>
      </c>
      <c r="AG59" s="5">
        <f t="shared" si="11"/>
        <v>0</v>
      </c>
      <c r="AH59" s="5">
        <f t="shared" si="12"/>
        <v>0</v>
      </c>
      <c r="AI59" s="82">
        <f>IF(Listas!$H$21=Listas!$I$17,1,IF(U59&lt;=$C$21,ROUND((EOMONTH(S59,0)-EOMONTH(S58,0))/30,0),0))</f>
        <v>0</v>
      </c>
      <c r="AL59" s="77">
        <f t="shared" si="2"/>
        <v>0</v>
      </c>
      <c r="AN59" s="86"/>
      <c r="AP59" s="6">
        <f t="shared" si="13"/>
        <v>0</v>
      </c>
      <c r="AQ59" s="5">
        <f t="shared" si="14"/>
        <v>0</v>
      </c>
      <c r="AW59" s="86"/>
    </row>
    <row r="60" spans="1:54">
      <c r="A60" s="77" t="str">
        <f>IF(IFERROR(VLOOKUP(C60,Listas!AT:AV,3,FALSE),0)=1,IF(WEEKDAY(C60+1)=7,C60+2,C60+1),C60)</f>
        <v/>
      </c>
      <c r="B60" s="5">
        <v>19</v>
      </c>
      <c r="C60" s="80" t="str">
        <f>IF(B60&gt;$C$21,"",IF(Listas!$I$21=Listas!$I$17,IF(WEEKDAY(C59+$D$13)=1,C59+$D$13+1,C59+$D$13),IF(B60&lt;=$C$21,IF((DATE(YEAR(C59),MONTH(C59)+1,DAY($C$14))-C59)&gt;=27,IF(WEEKDAY(DATE(YEAR(C59),MONTH(C59)+1,DAY($C$14)))=1,DATE(YEAR(C59),MONTH(C59)+1,DAY($C$14)+1),DATE(YEAR(C59),MONTH(C59)+1,DAY($C$14))),DATE(YEAR(C59),MONTH(C59)+2,DAY($C$14))),"")))</f>
        <v/>
      </c>
      <c r="D60" s="6" t="str">
        <f t="shared" si="15"/>
        <v/>
      </c>
      <c r="E60" s="4" t="str">
        <f t="shared" si="3"/>
        <v/>
      </c>
      <c r="F60" s="4">
        <f>IF($C$23=0,0,IF(OR(Listas!$K$6=Listas!$L$3,Listas!$K$6=Listas!$L$4),0,IF($C$23="",0,IF(Listas!$D$5=Listas!$C$3,ROUND(IF(B60&lt;=$C$21,IF(ROUND((D59/$T$120)*$C$23*Q60,2)&lt;(1/$T$120),ROUND((1/$T$120),2),ROUND((D59/$T$120)*$C$23,2)*Q60),0),2),IF(Listas!$D$5=Listas!$C$2,ROUND(IF(B60&lt;=$C$21,IF(ROUND(D59*$C$23*Q60,2)&lt;1,1,ROUND(D59*$C$23,2)*Q60),0),2))))))</f>
        <v>0</v>
      </c>
      <c r="G60" s="6" t="str">
        <f t="shared" si="25"/>
        <v/>
      </c>
      <c r="H60" s="6"/>
      <c r="I60" s="6">
        <f t="shared" si="26"/>
        <v>0</v>
      </c>
      <c r="J60" s="5">
        <f t="shared" si="4"/>
        <v>0</v>
      </c>
      <c r="K60" s="126">
        <f t="shared" si="18"/>
        <v>0</v>
      </c>
      <c r="L60" s="5">
        <f t="shared" si="5"/>
        <v>0</v>
      </c>
      <c r="M60" s="5">
        <f t="shared" si="30"/>
        <v>0</v>
      </c>
      <c r="N60" s="5">
        <f t="shared" si="20"/>
        <v>0</v>
      </c>
      <c r="O60" s="81">
        <f t="shared" si="27"/>
        <v>0</v>
      </c>
      <c r="P60" s="81">
        <f t="shared" si="22"/>
        <v>0</v>
      </c>
      <c r="Q60" s="82">
        <f>IF(Listas!$H$21=Listas!$I$15,1,IF(B60&lt;=$C$21,ROUND((EOMONTH(A60,0)-EOMONTH(A59,0))/30,0),0))</f>
        <v>0</v>
      </c>
      <c r="R60" s="138"/>
      <c r="S60" s="179" t="str">
        <f t="shared" si="34"/>
        <v/>
      </c>
      <c r="T60" s="179"/>
      <c r="U60" s="140" t="str">
        <f t="shared" si="35"/>
        <v/>
      </c>
      <c r="V60" s="141" t="str">
        <f t="shared" si="36"/>
        <v/>
      </c>
      <c r="W60" s="141" t="str">
        <f>IF(U59="","",IF(U60="",SUM($W$42:W59),IF(U60=$C$21,V59,Z60-X60-Y60)))</f>
        <v/>
      </c>
      <c r="X60" s="142" t="str">
        <f>IF(U59="","",IF(U60="",SUM($X$42:X59),ROUND(((1+$C$24)^(AG60/30)-1)*V59,2)))</f>
        <v/>
      </c>
      <c r="Y60" s="142">
        <f>IF($C$23=0,0,IF(OR(Listas!$K$6=Listas!$L$3,Listas!$K$6=Listas!$L$4),0,IF($C$23="",0,IF(Listas!$D$5=Listas!$C$3,ROUND(IF(U60&lt;=$C$21,IF(ROUND((V59/$T$120)*$C$23*AI60,2)&lt;(1/$T$120),ROUND((1/$T$120),2),ROUND((V59/$T$120)*$C$23,2)*AI60),0),2),IF(Listas!$D$5=Listas!$C$2,ROUND(IF(U60&lt;=$C$21,IF(ROUND(V59*$C$23*AI60,2)&lt;1,1,ROUND(V59*$C$23,2)*AI60),0),2))))))</f>
        <v>0</v>
      </c>
      <c r="Z60" s="141" t="str">
        <f>IF(U59="","",IF(U60="",SUM($Z$42:Z59),IF(U60=$C$21,SUM(W60,X60,Y60,AQ60),IF(U60&lt;$C$21,$C$34,0))))</f>
        <v/>
      </c>
      <c r="AA60" s="141" t="str">
        <f>IF(U59="","",IF(U60="",SUM($AA$42:AA59),IF(U60&lt;=$C$21,$C$17,0)))</f>
        <v/>
      </c>
      <c r="AB60" s="141">
        <f t="shared" si="10"/>
        <v>0</v>
      </c>
      <c r="AC60" s="109"/>
      <c r="AD60" s="139" t="str">
        <f t="shared" si="32"/>
        <v/>
      </c>
      <c r="AE60" s="40">
        <f t="shared" si="33"/>
        <v>0</v>
      </c>
      <c r="AG60" s="5">
        <f t="shared" si="11"/>
        <v>0</v>
      </c>
      <c r="AH60" s="5">
        <f t="shared" si="12"/>
        <v>0</v>
      </c>
      <c r="AI60" s="82">
        <f>IF(Listas!$H$21=Listas!$I$17,1,IF(U60&lt;=$C$21,ROUND((EOMONTH(S60,0)-EOMONTH(S59,0))/30,0),0))</f>
        <v>0</v>
      </c>
      <c r="AL60" s="77">
        <f t="shared" si="2"/>
        <v>0</v>
      </c>
      <c r="AN60" s="86"/>
      <c r="AP60" s="6">
        <f t="shared" si="13"/>
        <v>0</v>
      </c>
      <c r="AQ60" s="5">
        <f t="shared" si="14"/>
        <v>0</v>
      </c>
      <c r="AS60" s="86"/>
      <c r="AW60" s="86"/>
    </row>
    <row r="61" spans="1:54">
      <c r="A61" s="77" t="str">
        <f>IF(IFERROR(VLOOKUP(C61,Listas!AT:AV,3,FALSE),0)=1,IF(WEEKDAY(C61+1)=7,C61+2,C61+1),C61)</f>
        <v/>
      </c>
      <c r="B61" s="5">
        <v>20</v>
      </c>
      <c r="C61" s="80" t="str">
        <f>IF(B61&gt;$C$21,"",IF(Listas!$I$21=Listas!$I$17,IF(WEEKDAY(C60+$D$13)=1,C60+$D$13+1,C60+$D$13),IF(B61&lt;=$C$21,IF((DATE(YEAR(C60),MONTH(C60)+1,DAY($C$14))-C60)&gt;=27,IF(WEEKDAY(DATE(YEAR(C60),MONTH(C60)+1,DAY($C$14)))=1,DATE(YEAR(C60),MONTH(C60)+1,DAY($C$14)+1),DATE(YEAR(C60),MONTH(C60)+1,DAY($C$14))),DATE(YEAR(C60),MONTH(C60)+2,DAY($C$14))),"")))</f>
        <v/>
      </c>
      <c r="D61" s="6" t="str">
        <f t="shared" si="15"/>
        <v/>
      </c>
      <c r="E61" s="4" t="str">
        <f t="shared" si="3"/>
        <v/>
      </c>
      <c r="F61" s="4">
        <f>IF($C$23=0,0,IF(OR(Listas!$K$6=Listas!$L$3,Listas!$K$6=Listas!$L$4),0,IF($C$23="",0,IF(Listas!$D$5=Listas!$C$3,ROUND(IF(B61&lt;=$C$21,IF(ROUND((D60/$T$120)*$C$23*Q61,2)&lt;(1/$T$120),ROUND((1/$T$120),2),ROUND((D60/$T$120)*$C$23,2)*Q61),0),2),IF(Listas!$D$5=Listas!$C$2,ROUND(IF(B61&lt;=$C$21,IF(ROUND(D60*$C$23*Q61,2)&lt;1,1,ROUND(D60*$C$23,2)*Q61),0),2))))))</f>
        <v>0</v>
      </c>
      <c r="G61" s="6" t="str">
        <f t="shared" si="25"/>
        <v/>
      </c>
      <c r="H61" s="6"/>
      <c r="I61" s="6">
        <f t="shared" si="26"/>
        <v>0</v>
      </c>
      <c r="J61" s="5">
        <f t="shared" si="4"/>
        <v>0</v>
      </c>
      <c r="K61" s="126">
        <f t="shared" si="18"/>
        <v>0</v>
      </c>
      <c r="L61" s="5">
        <f t="shared" si="5"/>
        <v>0</v>
      </c>
      <c r="M61" s="5">
        <f t="shared" si="30"/>
        <v>0</v>
      </c>
      <c r="N61" s="5">
        <f t="shared" si="20"/>
        <v>0</v>
      </c>
      <c r="O61" s="81">
        <f t="shared" si="27"/>
        <v>0</v>
      </c>
      <c r="P61" s="81">
        <f t="shared" si="22"/>
        <v>0</v>
      </c>
      <c r="Q61" s="82">
        <f>IF(Listas!$H$21=Listas!$I$15,1,IF(B61&lt;=$C$21,ROUND((EOMONTH(A61,0)-EOMONTH(A60,0))/30,0),0))</f>
        <v>0</v>
      </c>
      <c r="R61" s="138"/>
      <c r="S61" s="179" t="str">
        <f t="shared" si="34"/>
        <v/>
      </c>
      <c r="T61" s="179"/>
      <c r="U61" s="140" t="str">
        <f t="shared" si="35"/>
        <v/>
      </c>
      <c r="V61" s="141" t="str">
        <f t="shared" si="36"/>
        <v/>
      </c>
      <c r="W61" s="141" t="str">
        <f>IF(U60="","",IF(U61="",SUM($W$42:W60),IF(U61=$C$21,V60,Z61-X61-Y61)))</f>
        <v/>
      </c>
      <c r="X61" s="142" t="str">
        <f>IF(U60="","",IF(U61="",SUM($X$42:X60),ROUND(((1+$C$24)^(AG61/30)-1)*V60,2)))</f>
        <v/>
      </c>
      <c r="Y61" s="142">
        <f>IF($C$23=0,0,IF(OR(Listas!$K$6=Listas!$L$3,Listas!$K$6=Listas!$L$4),0,IF($C$23="",0,IF(Listas!$D$5=Listas!$C$3,ROUND(IF(U61&lt;=$C$21,IF(ROUND((V60/$T$120)*$C$23*AI61,2)&lt;(1/$T$120),ROUND((1/$T$120),2),ROUND((V60/$T$120)*$C$23,2)*AI61),0),2),IF(Listas!$D$5=Listas!$C$2,ROUND(IF(U61&lt;=$C$21,IF(ROUND(V60*$C$23*AI61,2)&lt;1,1,ROUND(V60*$C$23,2)*AI61),0),2))))))</f>
        <v>0</v>
      </c>
      <c r="Z61" s="141" t="str">
        <f>IF(U60="","",IF(U61="",SUM($Z$42:Z60),IF(U61=$C$21,SUM(W61,X61,Y61,AQ61),IF(U61&lt;$C$21,$C$34,0))))</f>
        <v/>
      </c>
      <c r="AA61" s="141" t="str">
        <f>IF(U60="","",IF(U61="",SUM($AA$42:AA60),IF(U61&lt;=$C$21,$C$17,0)))</f>
        <v/>
      </c>
      <c r="AB61" s="141">
        <f t="shared" si="10"/>
        <v>0</v>
      </c>
      <c r="AC61" s="109"/>
      <c r="AD61" s="139" t="str">
        <f t="shared" si="32"/>
        <v/>
      </c>
      <c r="AE61" s="40">
        <f t="shared" si="33"/>
        <v>0</v>
      </c>
      <c r="AG61" s="5">
        <f t="shared" si="11"/>
        <v>0</v>
      </c>
      <c r="AH61" s="5">
        <f t="shared" si="12"/>
        <v>0</v>
      </c>
      <c r="AI61" s="82">
        <f>IF(Listas!$H$21=Listas!$I$17,1,IF(U61&lt;=$C$21,ROUND((EOMONTH(S61,0)-EOMONTH(S60,0))/30,0),0))</f>
        <v>0</v>
      </c>
      <c r="AL61" s="77">
        <f t="shared" si="2"/>
        <v>0</v>
      </c>
      <c r="AN61" s="86"/>
      <c r="AP61" s="6">
        <f t="shared" si="13"/>
        <v>0</v>
      </c>
      <c r="AQ61" s="5">
        <f t="shared" si="14"/>
        <v>0</v>
      </c>
      <c r="AS61" s="86"/>
      <c r="AW61" s="86"/>
    </row>
    <row r="62" spans="1:54">
      <c r="A62" s="77" t="str">
        <f>IF(IFERROR(VLOOKUP(C62,Listas!AT:AV,3,FALSE),0)=1,IF(WEEKDAY(C62+1)=7,C62+2,C62+1),C62)</f>
        <v/>
      </c>
      <c r="B62" s="5">
        <v>21</v>
      </c>
      <c r="C62" s="80" t="str">
        <f>IF(B62&gt;$C$21,"",IF(Listas!$I$21=Listas!$I$17,IF(WEEKDAY(C61+$D$13)=1,C61+$D$13+1,C61+$D$13),IF(B62&lt;=$C$21,IF((DATE(YEAR(C61),MONTH(C61)+1,DAY($C$14))-C61)&gt;=27,IF(WEEKDAY(DATE(YEAR(C61),MONTH(C61)+1,DAY($C$14)))=1,DATE(YEAR(C61),MONTH(C61)+1,DAY($C$14)+1),DATE(YEAR(C61),MONTH(C61)+1,DAY($C$14))),DATE(YEAR(C61),MONTH(C61)+2,DAY($C$14))),"")))</f>
        <v/>
      </c>
      <c r="D62" s="6" t="str">
        <f t="shared" si="15"/>
        <v/>
      </c>
      <c r="E62" s="4" t="str">
        <f t="shared" si="3"/>
        <v/>
      </c>
      <c r="F62" s="4">
        <f>IF($C$23=0,0,IF(OR(Listas!$K$6=Listas!$L$3,Listas!$K$6=Listas!$L$4),0,IF($C$23="",0,IF(Listas!$D$5=Listas!$C$3,ROUND(IF(B62&lt;=$C$21,IF(ROUND((D61/$T$120)*$C$23*Q62,2)&lt;(1/$T$120),ROUND((1/$T$120),2),ROUND((D61/$T$120)*$C$23,2)*Q62),0),2),IF(Listas!$D$5=Listas!$C$2,ROUND(IF(B62&lt;=$C$21,IF(ROUND(D61*$C$23*Q62,2)&lt;1,1,ROUND(D61*$C$23,2)*Q62),0),2))))))</f>
        <v>0</v>
      </c>
      <c r="G62" s="6" t="str">
        <f t="shared" si="25"/>
        <v/>
      </c>
      <c r="H62" s="6"/>
      <c r="I62" s="6">
        <f t="shared" si="26"/>
        <v>0</v>
      </c>
      <c r="J62" s="5">
        <f t="shared" si="4"/>
        <v>0</v>
      </c>
      <c r="K62" s="126">
        <f t="shared" si="18"/>
        <v>0</v>
      </c>
      <c r="L62" s="5">
        <f t="shared" si="5"/>
        <v>0</v>
      </c>
      <c r="M62" s="5">
        <f t="shared" si="30"/>
        <v>0</v>
      </c>
      <c r="N62" s="5">
        <f t="shared" si="20"/>
        <v>0</v>
      </c>
      <c r="O62" s="81">
        <f t="shared" si="27"/>
        <v>0</v>
      </c>
      <c r="P62" s="81">
        <f t="shared" si="22"/>
        <v>0</v>
      </c>
      <c r="Q62" s="82">
        <f>IF(Listas!$H$21=Listas!$I$15,1,IF(B62&lt;=$C$21,ROUND((EOMONTH(A62,0)-EOMONTH(A61,0))/30,0),0))</f>
        <v>0</v>
      </c>
      <c r="R62" s="138"/>
      <c r="S62" s="179" t="str">
        <f t="shared" si="34"/>
        <v/>
      </c>
      <c r="T62" s="179"/>
      <c r="U62" s="140" t="str">
        <f t="shared" si="35"/>
        <v/>
      </c>
      <c r="V62" s="141" t="str">
        <f t="shared" si="36"/>
        <v/>
      </c>
      <c r="W62" s="141" t="str">
        <f>IF(U61="","",IF(U62="",SUM($W$42:W61),IF(U62=$C$21,V61,Z62-X62-Y62)))</f>
        <v/>
      </c>
      <c r="X62" s="142" t="str">
        <f>IF(U61="","",IF(U62="",SUM($X$42:X61),ROUND(((1+$C$24)^(AG62/30)-1)*V61,2)))</f>
        <v/>
      </c>
      <c r="Y62" s="142">
        <f>IF($C$23=0,0,IF(OR(Listas!$K$6=Listas!$L$3,Listas!$K$6=Listas!$L$4),0,IF($C$23="",0,IF(Listas!$D$5=Listas!$C$3,ROUND(IF(U62&lt;=$C$21,IF(ROUND((V61/$T$120)*$C$23*AI62,2)&lt;(1/$T$120),ROUND((1/$T$120),2),ROUND((V61/$T$120)*$C$23,2)*AI62),0),2),IF(Listas!$D$5=Listas!$C$2,ROUND(IF(U62&lt;=$C$21,IF(ROUND(V61*$C$23*AI62,2)&lt;1,1,ROUND(V61*$C$23,2)*AI62),0),2))))))</f>
        <v>0</v>
      </c>
      <c r="Z62" s="141" t="str">
        <f>IF(U61="","",IF(U62="",SUM($Z$42:Z61),IF(U62=$C$21,SUM(W62,X62,Y62,AQ62),IF(U62&lt;$C$21,$C$34,0))))</f>
        <v/>
      </c>
      <c r="AA62" s="141" t="str">
        <f>IF(U61="","",IF(U62="",SUM($AA$42:AA61),IF(U62&lt;=$C$21,$C$17,0)))</f>
        <v/>
      </c>
      <c r="AB62" s="141">
        <f t="shared" si="10"/>
        <v>0</v>
      </c>
      <c r="AC62" s="109"/>
      <c r="AD62" s="139" t="str">
        <f t="shared" si="32"/>
        <v/>
      </c>
      <c r="AE62" s="40">
        <f t="shared" si="33"/>
        <v>0</v>
      </c>
      <c r="AG62" s="5">
        <f t="shared" si="11"/>
        <v>0</v>
      </c>
      <c r="AH62" s="5">
        <f t="shared" si="12"/>
        <v>0</v>
      </c>
      <c r="AI62" s="82">
        <f>IF(Listas!$H$21=Listas!$I$17,1,IF(U62&lt;=$C$21,ROUND((EOMONTH(S62,0)-EOMONTH(S61,0))/30,0),0))</f>
        <v>0</v>
      </c>
      <c r="AL62" s="77">
        <f t="shared" si="2"/>
        <v>0</v>
      </c>
      <c r="AN62" s="86"/>
      <c r="AP62" s="6">
        <f t="shared" si="13"/>
        <v>0</v>
      </c>
      <c r="AQ62" s="5">
        <f t="shared" si="14"/>
        <v>0</v>
      </c>
      <c r="AS62" s="86"/>
      <c r="AW62" s="86"/>
    </row>
    <row r="63" spans="1:54">
      <c r="A63" s="77" t="str">
        <f>IF(IFERROR(VLOOKUP(C63,Listas!AT:AV,3,FALSE),0)=1,IF(WEEKDAY(C63+1)=7,C63+2,C63+1),C63)</f>
        <v/>
      </c>
      <c r="B63" s="5">
        <v>22</v>
      </c>
      <c r="C63" s="80" t="str">
        <f>IF(B63&gt;$C$21,"",IF(Listas!$I$21=Listas!$I$17,IF(WEEKDAY(C62+$D$13)=1,C62+$D$13+1,C62+$D$13),IF(B63&lt;=$C$21,IF((DATE(YEAR(C62),MONTH(C62)+1,DAY($C$14))-C62)&gt;=27,IF(WEEKDAY(DATE(YEAR(C62),MONTH(C62)+1,DAY($C$14)))=1,DATE(YEAR(C62),MONTH(C62)+1,DAY($C$14)+1),DATE(YEAR(C62),MONTH(C62)+1,DAY($C$14))),DATE(YEAR(C62),MONTH(C62)+2,DAY($C$14))),"")))</f>
        <v/>
      </c>
      <c r="D63" s="6" t="str">
        <f t="shared" si="15"/>
        <v/>
      </c>
      <c r="E63" s="4" t="str">
        <f t="shared" si="3"/>
        <v/>
      </c>
      <c r="F63" s="4">
        <f>IF($C$23=0,0,IF(OR(Listas!$K$6=Listas!$L$3,Listas!$K$6=Listas!$L$4),0,IF($C$23="",0,IF(Listas!$D$5=Listas!$C$3,ROUND(IF(B63&lt;=$C$21,IF(ROUND((D62/$T$120)*$C$23*Q63,2)&lt;(1/$T$120),ROUND((1/$T$120),2),ROUND((D62/$T$120)*$C$23,2)*Q63),0),2),IF(Listas!$D$5=Listas!$C$2,ROUND(IF(B63&lt;=$C$21,IF(ROUND(D62*$C$23*Q63,2)&lt;1,1,ROUND(D62*$C$23,2)*Q63),0),2))))))</f>
        <v>0</v>
      </c>
      <c r="G63" s="6" t="str">
        <f t="shared" si="25"/>
        <v/>
      </c>
      <c r="H63" s="6"/>
      <c r="I63" s="6">
        <f t="shared" si="26"/>
        <v>0</v>
      </c>
      <c r="J63" s="5">
        <f t="shared" si="4"/>
        <v>0</v>
      </c>
      <c r="K63" s="126">
        <f t="shared" si="18"/>
        <v>0</v>
      </c>
      <c r="L63" s="5">
        <f t="shared" si="5"/>
        <v>0</v>
      </c>
      <c r="M63" s="5">
        <f t="shared" si="30"/>
        <v>0</v>
      </c>
      <c r="N63" s="5">
        <f t="shared" si="20"/>
        <v>0</v>
      </c>
      <c r="O63" s="81">
        <f t="shared" si="27"/>
        <v>0</v>
      </c>
      <c r="P63" s="81">
        <f t="shared" si="22"/>
        <v>0</v>
      </c>
      <c r="Q63" s="82">
        <f>IF(Listas!$H$21=Listas!$I$15,1,IF(B63&lt;=$C$21,ROUND((EOMONTH(A63,0)-EOMONTH(A62,0))/30,0),0))</f>
        <v>0</v>
      </c>
      <c r="R63" s="138"/>
      <c r="S63" s="179" t="str">
        <f t="shared" si="34"/>
        <v/>
      </c>
      <c r="T63" s="179"/>
      <c r="U63" s="140" t="str">
        <f t="shared" si="35"/>
        <v/>
      </c>
      <c r="V63" s="141" t="str">
        <f t="shared" si="36"/>
        <v/>
      </c>
      <c r="W63" s="141" t="str">
        <f>IF(U62="","",IF(U63="",SUM($W$42:W62),IF(U63=$C$21,V62,Z63-X63-Y63)))</f>
        <v/>
      </c>
      <c r="X63" s="142" t="str">
        <f>IF(U62="","",IF(U63="",SUM($X$42:X62),ROUND(((1+$C$24)^(AG63/30)-1)*V62,2)))</f>
        <v/>
      </c>
      <c r="Y63" s="142">
        <f>IF($C$23=0,0,IF(OR(Listas!$K$6=Listas!$L$3,Listas!$K$6=Listas!$L$4),0,IF($C$23="",0,IF(Listas!$D$5=Listas!$C$3,ROUND(IF(U63&lt;=$C$21,IF(ROUND((V62/$T$120)*$C$23*AI63,2)&lt;(1/$T$120),ROUND((1/$T$120),2),ROUND((V62/$T$120)*$C$23,2)*AI63),0),2),IF(Listas!$D$5=Listas!$C$2,ROUND(IF(U63&lt;=$C$21,IF(ROUND(V62*$C$23*AI63,2)&lt;1,1,ROUND(V62*$C$23,2)*AI63),0),2))))))</f>
        <v>0</v>
      </c>
      <c r="Z63" s="141" t="str">
        <f>IF(U62="","",IF(U63="",SUM($Z$42:Z62),IF(U63=$C$21,SUM(W63,X63,Y63,AQ63),IF(U63&lt;$C$21,$C$34,0))))</f>
        <v/>
      </c>
      <c r="AA63" s="141" t="str">
        <f>IF(U62="","",IF(U63="",SUM($AA$42:AA62),IF(U63&lt;=$C$21,$C$17,0)))</f>
        <v/>
      </c>
      <c r="AB63" s="141">
        <f t="shared" si="10"/>
        <v>0</v>
      </c>
      <c r="AC63" s="109"/>
      <c r="AD63" s="139" t="str">
        <f t="shared" si="32"/>
        <v/>
      </c>
      <c r="AE63" s="40">
        <f t="shared" si="33"/>
        <v>0</v>
      </c>
      <c r="AG63" s="5">
        <f t="shared" si="11"/>
        <v>0</v>
      </c>
      <c r="AH63" s="5">
        <f t="shared" si="12"/>
        <v>0</v>
      </c>
      <c r="AI63" s="82">
        <f>IF(Listas!$H$21=Listas!$I$17,1,IF(U63&lt;=$C$21,ROUND((EOMONTH(S63,0)-EOMONTH(S62,0))/30,0),0))</f>
        <v>0</v>
      </c>
      <c r="AL63" s="77">
        <f t="shared" si="2"/>
        <v>0</v>
      </c>
      <c r="AN63" s="86"/>
      <c r="AP63" s="6">
        <f t="shared" si="13"/>
        <v>0</v>
      </c>
      <c r="AQ63" s="5">
        <f t="shared" si="14"/>
        <v>0</v>
      </c>
      <c r="AS63" s="86"/>
      <c r="AW63" s="86"/>
    </row>
    <row r="64" spans="1:54">
      <c r="A64" s="77" t="str">
        <f>IF(IFERROR(VLOOKUP(C64,Listas!AT:AV,3,FALSE),0)=1,IF(WEEKDAY(C64+1)=7,C64+2,C64+1),C64)</f>
        <v/>
      </c>
      <c r="B64" s="5">
        <v>23</v>
      </c>
      <c r="C64" s="80" t="str">
        <f>IF(B64&gt;$C$21,"",IF(Listas!$I$21=Listas!$I$17,IF(WEEKDAY(C63+$D$13)=1,C63+$D$13+1,C63+$D$13),IF(B64&lt;=$C$21,IF((DATE(YEAR(C63),MONTH(C63)+1,DAY($C$14))-C63)&gt;=27,IF(WEEKDAY(DATE(YEAR(C63),MONTH(C63)+1,DAY($C$14)))=1,DATE(YEAR(C63),MONTH(C63)+1,DAY($C$14)+1),DATE(YEAR(C63),MONTH(C63)+1,DAY($C$14))),DATE(YEAR(C63),MONTH(C63)+2,DAY($C$14))),"")))</f>
        <v/>
      </c>
      <c r="D64" s="6" t="str">
        <f t="shared" si="15"/>
        <v/>
      </c>
      <c r="E64" s="4" t="str">
        <f t="shared" si="3"/>
        <v/>
      </c>
      <c r="F64" s="4">
        <f>IF($C$23=0,0,IF(OR(Listas!$K$6=Listas!$L$3,Listas!$K$6=Listas!$L$4),0,IF($C$23="",0,IF(Listas!$D$5=Listas!$C$3,ROUND(IF(B64&lt;=$C$21,IF(ROUND((D63/$T$120)*$C$23*Q64,2)&lt;(1/$T$120),ROUND((1/$T$120),2),ROUND((D63/$T$120)*$C$23,2)*Q64),0),2),IF(Listas!$D$5=Listas!$C$2,ROUND(IF(B64&lt;=$C$21,IF(ROUND(D63*$C$23*Q64,2)&lt;1,1,ROUND(D63*$C$23,2)*Q64),0),2))))))</f>
        <v>0</v>
      </c>
      <c r="G64" s="6" t="str">
        <f t="shared" si="25"/>
        <v/>
      </c>
      <c r="H64" s="6"/>
      <c r="I64" s="6">
        <f t="shared" si="26"/>
        <v>0</v>
      </c>
      <c r="J64" s="5">
        <f t="shared" si="4"/>
        <v>0</v>
      </c>
      <c r="K64" s="126">
        <f t="shared" si="18"/>
        <v>0</v>
      </c>
      <c r="L64" s="5">
        <f t="shared" si="5"/>
        <v>0</v>
      </c>
      <c r="M64" s="5">
        <f t="shared" si="30"/>
        <v>0</v>
      </c>
      <c r="N64" s="5">
        <f t="shared" si="20"/>
        <v>0</v>
      </c>
      <c r="O64" s="81">
        <f t="shared" si="27"/>
        <v>0</v>
      </c>
      <c r="P64" s="81">
        <f t="shared" si="22"/>
        <v>0</v>
      </c>
      <c r="Q64" s="82">
        <f>IF(Listas!$H$21=Listas!$I$15,1,IF(B64&lt;=$C$21,ROUND((EOMONTH(A64,0)-EOMONTH(A63,0))/30,0),0))</f>
        <v>0</v>
      </c>
      <c r="R64" s="138"/>
      <c r="S64" s="179" t="str">
        <f t="shared" si="34"/>
        <v/>
      </c>
      <c r="T64" s="179"/>
      <c r="U64" s="140" t="str">
        <f t="shared" si="35"/>
        <v/>
      </c>
      <c r="V64" s="141" t="str">
        <f t="shared" si="36"/>
        <v/>
      </c>
      <c r="W64" s="141" t="str">
        <f>IF(U63="","",IF(U64="",SUM($W$42:W63),IF(U64=$C$21,V63,Z64-X64-Y64)))</f>
        <v/>
      </c>
      <c r="X64" s="142" t="str">
        <f>IF(U63="","",IF(U64="",SUM($X$42:X63),ROUND(((1+$C$24)^(AG64/30)-1)*V63,2)))</f>
        <v/>
      </c>
      <c r="Y64" s="142">
        <f>IF($C$23=0,0,IF(OR(Listas!$K$6=Listas!$L$3,Listas!$K$6=Listas!$L$4),0,IF($C$23="",0,IF(Listas!$D$5=Listas!$C$3,ROUND(IF(U64&lt;=$C$21,IF(ROUND((V63/$T$120)*$C$23*AI64,2)&lt;(1/$T$120),ROUND((1/$T$120),2),ROUND((V63/$T$120)*$C$23,2)*AI64),0),2),IF(Listas!$D$5=Listas!$C$2,ROUND(IF(U64&lt;=$C$21,IF(ROUND(V63*$C$23*AI64,2)&lt;1,1,ROUND(V63*$C$23,2)*AI64),0),2))))))</f>
        <v>0</v>
      </c>
      <c r="Z64" s="141" t="str">
        <f>IF(U63="","",IF(U64="",SUM($Z$42:Z63),IF(U64=$C$21,SUM(W64,X64,Y64,AQ64),IF(U64&lt;$C$21,$C$34,0))))</f>
        <v/>
      </c>
      <c r="AA64" s="141" t="str">
        <f>IF(U63="","",IF(U64="",SUM($AA$42:AA63),IF(U64&lt;=$C$21,$C$17,0)))</f>
        <v/>
      </c>
      <c r="AB64" s="141">
        <f t="shared" si="10"/>
        <v>0</v>
      </c>
      <c r="AC64" s="137"/>
      <c r="AD64" s="139" t="str">
        <f t="shared" si="32"/>
        <v/>
      </c>
      <c r="AE64" s="40">
        <f t="shared" si="33"/>
        <v>0</v>
      </c>
      <c r="AG64" s="5">
        <f t="shared" si="11"/>
        <v>0</v>
      </c>
      <c r="AH64" s="5">
        <f t="shared" si="12"/>
        <v>0</v>
      </c>
      <c r="AI64" s="82">
        <f>IF(Listas!$H$21=Listas!$I$17,1,IF(U64&lt;=$C$21,ROUND((EOMONTH(S64,0)-EOMONTH(S63,0))/30,0),0))</f>
        <v>0</v>
      </c>
      <c r="AL64" s="77">
        <f t="shared" si="2"/>
        <v>0</v>
      </c>
      <c r="AN64" s="86"/>
      <c r="AP64" s="6">
        <f t="shared" si="13"/>
        <v>0</v>
      </c>
      <c r="AQ64" s="5">
        <f t="shared" si="14"/>
        <v>0</v>
      </c>
      <c r="AS64" s="86"/>
      <c r="AW64" s="86"/>
    </row>
    <row r="65" spans="1:49">
      <c r="A65" s="77" t="str">
        <f>IF(IFERROR(VLOOKUP(C65,Listas!AT:AV,3,FALSE),0)=1,IF(WEEKDAY(C65+1)=7,C65+2,C65+1),C65)</f>
        <v/>
      </c>
      <c r="B65" s="5">
        <v>24</v>
      </c>
      <c r="C65" s="80" t="str">
        <f>IF(B65&gt;$C$21,"",IF(Listas!$I$21=Listas!$I$17,IF(WEEKDAY(C64+$D$13)=1,C64+$D$13+1,C64+$D$13),IF(B65&lt;=$C$21,IF((DATE(YEAR(C64),MONTH(C64)+1,DAY($C$14))-C64)&gt;=27,IF(WEEKDAY(DATE(YEAR(C64),MONTH(C64)+1,DAY($C$14)))=1,DATE(YEAR(C64),MONTH(C64)+1,DAY($C$14)+1),DATE(YEAR(C64),MONTH(C64)+1,DAY($C$14))),DATE(YEAR(C64),MONTH(C64)+2,DAY($C$14))),"")))</f>
        <v/>
      </c>
      <c r="D65" s="6" t="str">
        <f t="shared" si="15"/>
        <v/>
      </c>
      <c r="E65" s="4" t="str">
        <f t="shared" si="3"/>
        <v/>
      </c>
      <c r="F65" s="4">
        <f>IF($C$23=0,0,IF(OR(Listas!$K$6=Listas!$L$3,Listas!$K$6=Listas!$L$4),0,IF($C$23="",0,IF(Listas!$D$5=Listas!$C$3,ROUND(IF(B65&lt;=$C$21,IF(ROUND((D64/$T$120)*$C$23*Q65,2)&lt;(1/$T$120),ROUND((1/$T$120),2),ROUND((D64/$T$120)*$C$23,2)*Q65),0),2),IF(Listas!$D$5=Listas!$C$2,ROUND(IF(B65&lt;=$C$21,IF(ROUND(D64*$C$23*Q65,2)&lt;1,1,ROUND(D64*$C$23,2)*Q65),0),2))))))</f>
        <v>0</v>
      </c>
      <c r="G65" s="6" t="str">
        <f t="shared" si="25"/>
        <v/>
      </c>
      <c r="H65" s="6"/>
      <c r="I65" s="6">
        <f t="shared" si="26"/>
        <v>0</v>
      </c>
      <c r="J65" s="5">
        <f t="shared" si="4"/>
        <v>0</v>
      </c>
      <c r="K65" s="126">
        <f t="shared" si="18"/>
        <v>0</v>
      </c>
      <c r="L65" s="5">
        <f t="shared" si="5"/>
        <v>0</v>
      </c>
      <c r="M65" s="5">
        <f t="shared" si="30"/>
        <v>0</v>
      </c>
      <c r="N65" s="5">
        <f t="shared" si="20"/>
        <v>0</v>
      </c>
      <c r="O65" s="81">
        <f t="shared" si="27"/>
        <v>0</v>
      </c>
      <c r="P65" s="81">
        <f t="shared" si="22"/>
        <v>0</v>
      </c>
      <c r="Q65" s="82">
        <f>IF(Listas!$H$21=Listas!$I$15,1,IF(B65&lt;=$C$21,ROUND((EOMONTH(A65,0)-EOMONTH(A64,0))/30,0),0))</f>
        <v>0</v>
      </c>
      <c r="R65" s="138"/>
      <c r="S65" s="179" t="str">
        <f t="shared" si="34"/>
        <v/>
      </c>
      <c r="T65" s="179"/>
      <c r="U65" s="140" t="str">
        <f t="shared" si="35"/>
        <v/>
      </c>
      <c r="V65" s="141" t="str">
        <f t="shared" si="36"/>
        <v/>
      </c>
      <c r="W65" s="141" t="str">
        <f>IF(U64="","",IF(U65="",SUM($W$42:W64),IF(U65=$C$21,V64,Z65-X65-Y65)))</f>
        <v/>
      </c>
      <c r="X65" s="142" t="str">
        <f>IF(U64="","",IF(U65="",SUM($X$42:X64),ROUND(((1+$C$24)^(AG65/30)-1)*V64,2)))</f>
        <v/>
      </c>
      <c r="Y65" s="142">
        <f>IF($C$23=0,0,IF(OR(Listas!$K$6=Listas!$L$3,Listas!$K$6=Listas!$L$4),0,IF($C$23="",0,IF(Listas!$D$5=Listas!$C$3,ROUND(IF(U65&lt;=$C$21,IF(ROUND((V64/$T$120)*$C$23*AI65,2)&lt;(1/$T$120),ROUND((1/$T$120),2),ROUND((V64/$T$120)*$C$23,2)*AI65),0),2),IF(Listas!$D$5=Listas!$C$2,ROUND(IF(U65&lt;=$C$21,IF(ROUND(V64*$C$23*AI65,2)&lt;1,1,ROUND(V64*$C$23,2)*AI65),0),2))))))</f>
        <v>0</v>
      </c>
      <c r="Z65" s="141" t="str">
        <f>IF(U64="","",IF(U65="",SUM($Z$42:Z64),IF(U65=$C$21,SUM(W65,X65,Y65,AQ65),IF(U65&lt;$C$21,$C$34,0))))</f>
        <v/>
      </c>
      <c r="AA65" s="141" t="str">
        <f>IF(U64="","",IF(U65="",SUM($AA$42:AA64),IF(U65&lt;=$C$21,$C$17,0)))</f>
        <v/>
      </c>
      <c r="AB65" s="141">
        <f t="shared" si="10"/>
        <v>0</v>
      </c>
      <c r="AC65" s="109"/>
      <c r="AD65" s="139" t="str">
        <f t="shared" si="32"/>
        <v/>
      </c>
      <c r="AE65" s="40">
        <f t="shared" si="33"/>
        <v>0</v>
      </c>
      <c r="AG65" s="5">
        <f t="shared" si="11"/>
        <v>0</v>
      </c>
      <c r="AH65" s="5">
        <f t="shared" si="12"/>
        <v>0</v>
      </c>
      <c r="AI65" s="82">
        <f>IF(Listas!$H$21=Listas!$I$17,1,IF(U65&lt;=$C$21,ROUND((EOMONTH(S65,0)-EOMONTH(S64,0))/30,0),0))</f>
        <v>0</v>
      </c>
      <c r="AL65" s="77">
        <f t="shared" si="2"/>
        <v>0</v>
      </c>
      <c r="AN65" s="86"/>
      <c r="AP65" s="6">
        <f t="shared" si="13"/>
        <v>0</v>
      </c>
      <c r="AQ65" s="5">
        <f t="shared" si="14"/>
        <v>0</v>
      </c>
      <c r="AS65" s="86"/>
      <c r="AW65" s="86"/>
    </row>
    <row r="66" spans="1:49">
      <c r="A66" s="77" t="str">
        <f>IF(IFERROR(VLOOKUP(C66,Listas!AT:AV,3,FALSE),0)=1,IF(WEEKDAY(C66+1)=7,C66+2,C66+1),C66)</f>
        <v/>
      </c>
      <c r="B66" s="5">
        <v>25</v>
      </c>
      <c r="C66" s="80" t="str">
        <f>IF(B66&gt;$C$21,"",IF(Listas!$I$21=Listas!$I$17,IF(WEEKDAY(C65+$D$13)=1,C65+$D$13+1,C65+$D$13),IF(B66&lt;=$C$21,IF((DATE(YEAR(C65),MONTH(C65)+1,DAY($C$14))-C65)&gt;=27,IF(WEEKDAY(DATE(YEAR(C65),MONTH(C65)+1,DAY($C$14)))=1,DATE(YEAR(C65),MONTH(C65)+1,DAY($C$14)+1),DATE(YEAR(C65),MONTH(C65)+1,DAY($C$14))),DATE(YEAR(C65),MONTH(C65)+2,DAY($C$14))),"")))</f>
        <v/>
      </c>
      <c r="D66" s="6" t="str">
        <f t="shared" si="15"/>
        <v/>
      </c>
      <c r="E66" s="4" t="str">
        <f t="shared" si="3"/>
        <v/>
      </c>
      <c r="F66" s="4">
        <f>IF($C$23=0,0,IF(OR(Listas!$K$6=Listas!$L$3,Listas!$K$6=Listas!$L$4),0,IF($C$23="",0,IF(Listas!$D$5=Listas!$C$3,ROUND(IF(B66&lt;=$C$21,IF(ROUND((D65/$T$120)*$C$23*Q66,2)&lt;(1/$T$120),ROUND((1/$T$120),2),ROUND((D65/$T$120)*$C$23,2)*Q66),0),2),IF(Listas!$D$5=Listas!$C$2,ROUND(IF(B66&lt;=$C$21,IF(ROUND(D65*$C$23*Q66,2)&lt;1,1,ROUND(D65*$C$23,2)*Q66),0),2))))))</f>
        <v>0</v>
      </c>
      <c r="G66" s="6" t="str">
        <f t="shared" si="25"/>
        <v/>
      </c>
      <c r="H66" s="6"/>
      <c r="I66" s="6">
        <f t="shared" si="26"/>
        <v>0</v>
      </c>
      <c r="J66" s="5">
        <f t="shared" si="4"/>
        <v>0</v>
      </c>
      <c r="K66" s="126">
        <f t="shared" si="18"/>
        <v>0</v>
      </c>
      <c r="L66" s="5">
        <f t="shared" si="5"/>
        <v>0</v>
      </c>
      <c r="M66" s="5">
        <f t="shared" si="30"/>
        <v>0</v>
      </c>
      <c r="N66" s="5">
        <f t="shared" si="20"/>
        <v>0</v>
      </c>
      <c r="O66" s="81">
        <f t="shared" si="27"/>
        <v>0</v>
      </c>
      <c r="P66" s="81">
        <f t="shared" si="22"/>
        <v>0</v>
      </c>
      <c r="Q66" s="82">
        <f>IF(Listas!$H$21=Listas!$I$15,1,IF(B66&lt;=$C$21,ROUND((EOMONTH(A66,0)-EOMONTH(A65,0))/30,0),0))</f>
        <v>0</v>
      </c>
      <c r="R66" s="138"/>
      <c r="S66" s="179" t="str">
        <f t="shared" si="34"/>
        <v/>
      </c>
      <c r="T66" s="179"/>
      <c r="U66" s="140" t="str">
        <f t="shared" si="35"/>
        <v/>
      </c>
      <c r="V66" s="141" t="str">
        <f t="shared" si="36"/>
        <v/>
      </c>
      <c r="W66" s="141" t="str">
        <f>IF(U65="","",IF(U66="",SUM($W$42:W65),IF(U66=$C$21,V65,Z66-X66-Y66)))</f>
        <v/>
      </c>
      <c r="X66" s="142" t="str">
        <f>IF(U65="","",IF(U66="",SUM($X$42:X65),ROUND(((1+$C$24)^(AG66/30)-1)*V65,2)))</f>
        <v/>
      </c>
      <c r="Y66" s="142">
        <f>IF($C$23=0,0,IF(OR(Listas!$K$6=Listas!$L$3,Listas!$K$6=Listas!$L$4),0,IF($C$23="",0,IF(Listas!$D$5=Listas!$C$3,ROUND(IF(U66&lt;=$C$21,IF(ROUND((V65/$T$120)*$C$23*AI66,2)&lt;(1/$T$120),ROUND((1/$T$120),2),ROUND((V65/$T$120)*$C$23,2)*AI66),0),2),IF(Listas!$D$5=Listas!$C$2,ROUND(IF(U66&lt;=$C$21,IF(ROUND(V65*$C$23*AI66,2)&lt;1,1,ROUND(V65*$C$23,2)*AI66),0),2))))))</f>
        <v>0</v>
      </c>
      <c r="Z66" s="141" t="str">
        <f>IF(U65="","",IF(U66="",SUM($Z$42:Z65),IF(U66=$C$21,SUM(W66,X66,Y66,AQ66),IF(U66&lt;$C$21,$C$34,0))))</f>
        <v/>
      </c>
      <c r="AA66" s="141" t="str">
        <f>IF(U65="","",IF(U66="",SUM($AA$42:AA65),IF(U66&lt;=$C$21,$C$17,0)))</f>
        <v/>
      </c>
      <c r="AB66" s="141">
        <f t="shared" si="10"/>
        <v>0</v>
      </c>
      <c r="AC66" s="109"/>
      <c r="AD66" s="139" t="str">
        <f t="shared" si="32"/>
        <v/>
      </c>
      <c r="AE66" s="40">
        <f t="shared" si="33"/>
        <v>0</v>
      </c>
      <c r="AG66" s="5">
        <f t="shared" si="11"/>
        <v>0</v>
      </c>
      <c r="AH66" s="5">
        <f t="shared" si="12"/>
        <v>0</v>
      </c>
      <c r="AI66" s="82">
        <f>IF(Listas!$H$21=Listas!$I$17,1,IF(U66&lt;=$C$21,ROUND((EOMONTH(S66,0)-EOMONTH(S65,0))/30,0),0))</f>
        <v>0</v>
      </c>
      <c r="AL66" s="77">
        <f t="shared" si="2"/>
        <v>0</v>
      </c>
      <c r="AP66" s="6">
        <f t="shared" si="13"/>
        <v>0</v>
      </c>
      <c r="AQ66" s="5">
        <f t="shared" si="14"/>
        <v>0</v>
      </c>
      <c r="AS66" s="86"/>
      <c r="AW66" s="86"/>
    </row>
    <row r="67" spans="1:49">
      <c r="A67" s="77" t="str">
        <f>IF(IFERROR(VLOOKUP(C67,Listas!AT:AV,3,FALSE),0)=1,IF(WEEKDAY(C67+1)=7,C67+2,C67+1),C67)</f>
        <v/>
      </c>
      <c r="B67" s="5">
        <v>26</v>
      </c>
      <c r="C67" s="80" t="str">
        <f>IF(B67&gt;$C$21,"",IF(Listas!$I$21=Listas!$I$17,IF(WEEKDAY(C66+$D$13)=1,C66+$D$13+1,C66+$D$13),IF(B67&lt;=$C$21,IF((DATE(YEAR(C66),MONTH(C66)+1,DAY($C$14))-C66)&gt;=27,IF(WEEKDAY(DATE(YEAR(C66),MONTH(C66)+1,DAY($C$14)))=1,DATE(YEAR(C66),MONTH(C66)+1,DAY($C$14)+1),DATE(YEAR(C66),MONTH(C66)+1,DAY($C$14))),DATE(YEAR(C66),MONTH(C66)+2,DAY($C$14))),"")))</f>
        <v/>
      </c>
      <c r="D67" s="6" t="str">
        <f t="shared" si="15"/>
        <v/>
      </c>
      <c r="E67" s="4" t="str">
        <f t="shared" si="3"/>
        <v/>
      </c>
      <c r="F67" s="4">
        <f>IF($C$23=0,0,IF(OR(Listas!$K$6=Listas!$L$3,Listas!$K$6=Listas!$L$4),0,IF($C$23="",0,IF(Listas!$D$5=Listas!$C$3,ROUND(IF(B67&lt;=$C$21,IF(ROUND((D66/$T$120)*$C$23*Q67,2)&lt;(1/$T$120),ROUND((1/$T$120),2),ROUND((D66/$T$120)*$C$23,2)*Q67),0),2),IF(Listas!$D$5=Listas!$C$2,ROUND(IF(B67&lt;=$C$21,IF(ROUND(D66*$C$23*Q67,2)&lt;1,1,ROUND(D66*$C$23,2)*Q67),0),2))))))</f>
        <v>0</v>
      </c>
      <c r="G67" s="6" t="str">
        <f t="shared" si="25"/>
        <v/>
      </c>
      <c r="H67" s="6"/>
      <c r="I67" s="6">
        <f t="shared" si="26"/>
        <v>0</v>
      </c>
      <c r="J67" s="5">
        <f t="shared" si="4"/>
        <v>0</v>
      </c>
      <c r="K67" s="126">
        <f t="shared" si="18"/>
        <v>0</v>
      </c>
      <c r="L67" s="5">
        <f t="shared" si="5"/>
        <v>0</v>
      </c>
      <c r="M67" s="5">
        <f t="shared" si="30"/>
        <v>0</v>
      </c>
      <c r="N67" s="5">
        <f t="shared" si="20"/>
        <v>0</v>
      </c>
      <c r="O67" s="81">
        <f t="shared" si="27"/>
        <v>0</v>
      </c>
      <c r="P67" s="81">
        <f t="shared" si="22"/>
        <v>0</v>
      </c>
      <c r="Q67" s="82">
        <f>IF(Listas!$H$21=Listas!$I$15,1,IF(B67&lt;=$C$21,ROUND((EOMONTH(A67,0)-EOMONTH(A66,0))/30,0),0))</f>
        <v>0</v>
      </c>
      <c r="R67" s="138"/>
      <c r="S67" s="179" t="str">
        <f t="shared" si="34"/>
        <v/>
      </c>
      <c r="T67" s="179"/>
      <c r="U67" s="140" t="str">
        <f t="shared" si="35"/>
        <v/>
      </c>
      <c r="V67" s="141" t="str">
        <f t="shared" si="36"/>
        <v/>
      </c>
      <c r="W67" s="141" t="str">
        <f>IF(U66="","",IF(U67="",SUM($W$42:W66),IF(U67=$C$21,V66,Z67-X67-Y67)))</f>
        <v/>
      </c>
      <c r="X67" s="142" t="str">
        <f>IF(U66="","",IF(U67="",SUM($X$42:X66),ROUND(((1+$C$24)^(AG67/30)-1)*V66,2)))</f>
        <v/>
      </c>
      <c r="Y67" s="142">
        <f>IF($C$23=0,0,IF(OR(Listas!$K$6=Listas!$L$3,Listas!$K$6=Listas!$L$4),0,IF($C$23="",0,IF(Listas!$D$5=Listas!$C$3,ROUND(IF(U67&lt;=$C$21,IF(ROUND((V66/$T$120)*$C$23*AI67,2)&lt;(1/$T$120),ROUND((1/$T$120),2),ROUND((V66/$T$120)*$C$23,2)*AI67),0),2),IF(Listas!$D$5=Listas!$C$2,ROUND(IF(U67&lt;=$C$21,IF(ROUND(V66*$C$23*AI67,2)&lt;1,1,ROUND(V66*$C$23,2)*AI67),0),2))))))</f>
        <v>0</v>
      </c>
      <c r="Z67" s="141" t="str">
        <f>IF(U66="","",IF(U67="",SUM($Z$42:Z66),IF(U67=$C$21,SUM(W67,X67,Y67,AQ67),IF(U67&lt;$C$21,$C$34,0))))</f>
        <v/>
      </c>
      <c r="AA67" s="141" t="str">
        <f>IF(U66="","",IF(U67="",SUM($AA$42:AA66),IF(U67&lt;=$C$21,$C$17,0)))</f>
        <v/>
      </c>
      <c r="AB67" s="141">
        <f t="shared" si="10"/>
        <v>0</v>
      </c>
      <c r="AC67" s="109"/>
      <c r="AD67" s="139" t="str">
        <f t="shared" si="32"/>
        <v/>
      </c>
      <c r="AE67" s="40">
        <f t="shared" si="33"/>
        <v>0</v>
      </c>
      <c r="AG67" s="5">
        <f t="shared" si="11"/>
        <v>0</v>
      </c>
      <c r="AH67" s="5">
        <f t="shared" si="12"/>
        <v>0</v>
      </c>
      <c r="AI67" s="82">
        <f>IF(Listas!$H$21=Listas!$I$17,1,IF(U67&lt;=$C$21,ROUND((EOMONTH(S67,0)-EOMONTH(S66,0))/30,0),0))</f>
        <v>0</v>
      </c>
      <c r="AL67" s="77">
        <f t="shared" si="2"/>
        <v>0</v>
      </c>
      <c r="AP67" s="6">
        <f t="shared" si="13"/>
        <v>0</v>
      </c>
      <c r="AQ67" s="5">
        <f t="shared" si="14"/>
        <v>0</v>
      </c>
    </row>
    <row r="68" spans="1:49">
      <c r="A68" s="77" t="str">
        <f>IF(IFERROR(VLOOKUP(C68,Listas!AT:AV,3,FALSE),0)=1,IF(WEEKDAY(C68+1)=7,C68+2,C68+1),C68)</f>
        <v/>
      </c>
      <c r="B68" s="5">
        <v>27</v>
      </c>
      <c r="C68" s="80" t="str">
        <f>IF(B68&gt;$C$21,"",IF(Listas!$I$21=Listas!$I$17,IF(WEEKDAY(C67+$D$13)=1,C67+$D$13+1,C67+$D$13),IF(B68&lt;=$C$21,IF((DATE(YEAR(C67),MONTH(C67)+1,DAY($C$14))-C67)&gt;=27,IF(WEEKDAY(DATE(YEAR(C67),MONTH(C67)+1,DAY($C$14)))=1,DATE(YEAR(C67),MONTH(C67)+1,DAY($C$14)+1),DATE(YEAR(C67),MONTH(C67)+1,DAY($C$14))),DATE(YEAR(C67),MONTH(C67)+2,DAY($C$14))),"")))</f>
        <v/>
      </c>
      <c r="D68" s="6" t="str">
        <f t="shared" si="15"/>
        <v/>
      </c>
      <c r="E68" s="4" t="str">
        <f t="shared" si="3"/>
        <v/>
      </c>
      <c r="F68" s="4">
        <f>IF($C$23=0,0,IF(OR(Listas!$K$6=Listas!$L$3,Listas!$K$6=Listas!$L$4),0,IF($C$23="",0,IF(Listas!$D$5=Listas!$C$3,ROUND(IF(B68&lt;=$C$21,IF(ROUND((D67/$T$120)*$C$23*Q68,2)&lt;(1/$T$120),ROUND((1/$T$120),2),ROUND((D67/$T$120)*$C$23,2)*Q68),0),2),IF(Listas!$D$5=Listas!$C$2,ROUND(IF(B68&lt;=$C$21,IF(ROUND(D67*$C$23*Q68,2)&lt;1,1,ROUND(D67*$C$23,2)*Q68),0),2))))))</f>
        <v>0</v>
      </c>
      <c r="G68" s="6" t="str">
        <f t="shared" si="25"/>
        <v/>
      </c>
      <c r="H68" s="6"/>
      <c r="I68" s="6">
        <f t="shared" si="26"/>
        <v>0</v>
      </c>
      <c r="J68" s="5">
        <f t="shared" si="4"/>
        <v>0</v>
      </c>
      <c r="K68" s="126">
        <f t="shared" si="18"/>
        <v>0</v>
      </c>
      <c r="L68" s="5">
        <f t="shared" si="5"/>
        <v>0</v>
      </c>
      <c r="M68" s="5">
        <f t="shared" si="30"/>
        <v>0</v>
      </c>
      <c r="N68" s="5">
        <f t="shared" si="20"/>
        <v>0</v>
      </c>
      <c r="O68" s="81">
        <f t="shared" si="27"/>
        <v>0</v>
      </c>
      <c r="P68" s="81">
        <f t="shared" si="22"/>
        <v>0</v>
      </c>
      <c r="Q68" s="82">
        <f>IF(Listas!$H$21=Listas!$I$15,1,IF(B68&lt;=$C$21,ROUND((EOMONTH(A68,0)-EOMONTH(A67,0))/30,0),0))</f>
        <v>0</v>
      </c>
      <c r="R68" s="138"/>
      <c r="S68" s="179" t="str">
        <f t="shared" si="34"/>
        <v/>
      </c>
      <c r="T68" s="179"/>
      <c r="U68" s="140" t="str">
        <f t="shared" si="35"/>
        <v/>
      </c>
      <c r="V68" s="141" t="str">
        <f t="shared" si="36"/>
        <v/>
      </c>
      <c r="W68" s="141" t="str">
        <f>IF(U67="","",IF(U68="",SUM($W$42:W67),IF(U68=$C$21,V67,Z68-X68-Y68)))</f>
        <v/>
      </c>
      <c r="X68" s="142" t="str">
        <f>IF(U67="","",IF(U68="",SUM($X$42:X67),ROUND(((1+$C$24)^(AG68/30)-1)*V67,2)))</f>
        <v/>
      </c>
      <c r="Y68" s="142">
        <f>IF($C$23=0,0,IF(OR(Listas!$K$6=Listas!$L$3,Listas!$K$6=Listas!$L$4),0,IF($C$23="",0,IF(Listas!$D$5=Listas!$C$3,ROUND(IF(U68&lt;=$C$21,IF(ROUND((V67/$T$120)*$C$23*AI68,2)&lt;(1/$T$120),ROUND((1/$T$120),2),ROUND((V67/$T$120)*$C$23,2)*AI68),0),2),IF(Listas!$D$5=Listas!$C$2,ROUND(IF(U68&lt;=$C$21,IF(ROUND(V67*$C$23*AI68,2)&lt;1,1,ROUND(V67*$C$23,2)*AI68),0),2))))))</f>
        <v>0</v>
      </c>
      <c r="Z68" s="141" t="str">
        <f>IF(U67="","",IF(U68="",SUM($Z$42:Z67),IF(U68=$C$21,SUM(W68,X68,Y68,AQ68),IF(U68&lt;$C$21,$C$34,0))))</f>
        <v/>
      </c>
      <c r="AA68" s="141" t="str">
        <f>IF(U67="","",IF(U68="",SUM($AA$42:AA67),IF(U68&lt;=$C$21,$C$17,0)))</f>
        <v/>
      </c>
      <c r="AB68" s="141">
        <f t="shared" si="10"/>
        <v>0</v>
      </c>
      <c r="AC68" s="137"/>
      <c r="AD68" s="139" t="str">
        <f t="shared" si="32"/>
        <v/>
      </c>
      <c r="AE68" s="40">
        <f t="shared" si="33"/>
        <v>0</v>
      </c>
      <c r="AG68" s="5">
        <f t="shared" si="11"/>
        <v>0</v>
      </c>
      <c r="AH68" s="5">
        <f t="shared" si="12"/>
        <v>0</v>
      </c>
      <c r="AI68" s="82">
        <f>IF(Listas!$H$21=Listas!$I$17,1,IF(U68&lt;=$C$21,ROUND((EOMONTH(S68,0)-EOMONTH(S67,0))/30,0),0))</f>
        <v>0</v>
      </c>
      <c r="AL68" s="77">
        <f t="shared" si="2"/>
        <v>0</v>
      </c>
      <c r="AP68" s="6">
        <f t="shared" si="13"/>
        <v>0</v>
      </c>
      <c r="AQ68" s="5">
        <f t="shared" si="14"/>
        <v>0</v>
      </c>
    </row>
    <row r="69" spans="1:49">
      <c r="A69" s="77" t="str">
        <f>IF(IFERROR(VLOOKUP(C69,Listas!AT:AV,3,FALSE),0)=1,IF(WEEKDAY(C69+1)=7,C69+2,C69+1),C69)</f>
        <v/>
      </c>
      <c r="B69" s="5">
        <v>28</v>
      </c>
      <c r="C69" s="80" t="str">
        <f>IF(B69&gt;$C$21,"",IF(Listas!$I$21=Listas!$I$17,IF(WEEKDAY(C68+$D$13)=1,C68+$D$13+1,C68+$D$13),IF(B69&lt;=$C$21,IF((DATE(YEAR(C68),MONTH(C68)+1,DAY($C$14))-C68)&gt;=27,IF(WEEKDAY(DATE(YEAR(C68),MONTH(C68)+1,DAY($C$14)))=1,DATE(YEAR(C68),MONTH(C68)+1,DAY($C$14)+1),DATE(YEAR(C68),MONTH(C68)+1,DAY($C$14))),DATE(YEAR(C68),MONTH(C68)+2,DAY($C$14))),"")))</f>
        <v/>
      </c>
      <c r="D69" s="6" t="str">
        <f t="shared" si="15"/>
        <v/>
      </c>
      <c r="E69" s="4" t="str">
        <f t="shared" si="3"/>
        <v/>
      </c>
      <c r="F69" s="4">
        <f>IF($C$23=0,0,IF(OR(Listas!$K$6=Listas!$L$3,Listas!$K$6=Listas!$L$4),0,IF($C$23="",0,IF(Listas!$D$5=Listas!$C$3,ROUND(IF(B69&lt;=$C$21,IF(ROUND((D68/$T$120)*$C$23*Q69,2)&lt;(1/$T$120),ROUND((1/$T$120),2),ROUND((D68/$T$120)*$C$23,2)*Q69),0),2),IF(Listas!$D$5=Listas!$C$2,ROUND(IF(B69&lt;=$C$21,IF(ROUND(D68*$C$23*Q69,2)&lt;1,1,ROUND(D68*$C$23,2)*Q69),0),2))))))</f>
        <v>0</v>
      </c>
      <c r="G69" s="6" t="str">
        <f t="shared" si="25"/>
        <v/>
      </c>
      <c r="H69" s="6"/>
      <c r="I69" s="6">
        <f t="shared" si="26"/>
        <v>0</v>
      </c>
      <c r="J69" s="5">
        <f t="shared" si="4"/>
        <v>0</v>
      </c>
      <c r="K69" s="126">
        <f t="shared" si="18"/>
        <v>0</v>
      </c>
      <c r="L69" s="5">
        <f t="shared" si="5"/>
        <v>0</v>
      </c>
      <c r="M69" s="5">
        <f t="shared" si="30"/>
        <v>0</v>
      </c>
      <c r="N69" s="5">
        <f t="shared" si="20"/>
        <v>0</v>
      </c>
      <c r="O69" s="81">
        <f t="shared" si="27"/>
        <v>0</v>
      </c>
      <c r="P69" s="81">
        <f t="shared" si="22"/>
        <v>0</v>
      </c>
      <c r="Q69" s="82">
        <f>IF(Listas!$H$21=Listas!$I$15,1,IF(B69&lt;=$C$21,ROUND((EOMONTH(A69,0)-EOMONTH(A68,0))/30,0),0))</f>
        <v>0</v>
      </c>
      <c r="R69" s="138"/>
      <c r="S69" s="179" t="str">
        <f t="shared" si="34"/>
        <v/>
      </c>
      <c r="T69" s="179"/>
      <c r="U69" s="140" t="str">
        <f t="shared" si="35"/>
        <v/>
      </c>
      <c r="V69" s="141" t="str">
        <f t="shared" si="36"/>
        <v/>
      </c>
      <c r="W69" s="141" t="str">
        <f>IF(U68="","",IF(U69="",SUM($W$42:W68),IF(U69=$C$21,V68,Z69-X69-Y69)))</f>
        <v/>
      </c>
      <c r="X69" s="142" t="str">
        <f>IF(U68="","",IF(U69="",SUM($X$42:X68),ROUND(((1+$C$24)^(AG69/30)-1)*V68,2)))</f>
        <v/>
      </c>
      <c r="Y69" s="142">
        <f>IF($C$23=0,0,IF(OR(Listas!$K$6=Listas!$L$3,Listas!$K$6=Listas!$L$4),0,IF($C$23="",0,IF(Listas!$D$5=Listas!$C$3,ROUND(IF(U69&lt;=$C$21,IF(ROUND((V68/$T$120)*$C$23*AI69,2)&lt;(1/$T$120),ROUND((1/$T$120),2),ROUND((V68/$T$120)*$C$23,2)*AI69),0),2),IF(Listas!$D$5=Listas!$C$2,ROUND(IF(U69&lt;=$C$21,IF(ROUND(V68*$C$23*AI69,2)&lt;1,1,ROUND(V68*$C$23,2)*AI69),0),2))))))</f>
        <v>0</v>
      </c>
      <c r="Z69" s="141" t="str">
        <f>IF(U68="","",IF(U69="",SUM($Z$42:Z68),IF(U69=$C$21,SUM(W69,X69,Y69,AQ69),IF(U69&lt;$C$21,$C$34,0))))</f>
        <v/>
      </c>
      <c r="AA69" s="141" t="str">
        <f>IF(U68="","",IF(U69="",SUM($AA$42:AA68),IF(U69&lt;=$C$21,$C$17,0)))</f>
        <v/>
      </c>
      <c r="AB69" s="141">
        <f t="shared" si="10"/>
        <v>0</v>
      </c>
      <c r="AC69" s="109"/>
      <c r="AD69" s="139" t="str">
        <f t="shared" si="32"/>
        <v/>
      </c>
      <c r="AE69" s="40">
        <f t="shared" si="33"/>
        <v>0</v>
      </c>
      <c r="AG69" s="5">
        <f t="shared" si="11"/>
        <v>0</v>
      </c>
      <c r="AH69" s="5">
        <f t="shared" si="12"/>
        <v>0</v>
      </c>
      <c r="AI69" s="82">
        <f>IF(Listas!$H$21=Listas!$I$17,1,IF(U69&lt;=$C$21,ROUND((EOMONTH(S69,0)-EOMONTH(S68,0))/30,0),0))</f>
        <v>0</v>
      </c>
      <c r="AL69" s="77">
        <f t="shared" si="2"/>
        <v>0</v>
      </c>
      <c r="AP69" s="6">
        <f t="shared" si="13"/>
        <v>0</v>
      </c>
      <c r="AQ69" s="5">
        <f t="shared" si="14"/>
        <v>0</v>
      </c>
    </row>
    <row r="70" spans="1:49">
      <c r="A70" s="77" t="str">
        <f>IF(IFERROR(VLOOKUP(C70,Listas!AT:AV,3,FALSE),0)=1,IF(WEEKDAY(C70+1)=7,C70+2,C70+1),C70)</f>
        <v/>
      </c>
      <c r="B70" s="5">
        <v>29</v>
      </c>
      <c r="C70" s="80" t="str">
        <f>IF(B70&gt;$C$21,"",IF(Listas!$I$21=Listas!$I$17,IF(WEEKDAY(C69+$D$13)=1,C69+$D$13+1,C69+$D$13),IF(B70&lt;=$C$21,IF((DATE(YEAR(C69),MONTH(C69)+1,DAY($C$14))-C69)&gt;=27,IF(WEEKDAY(DATE(YEAR(C69),MONTH(C69)+1,DAY($C$14)))=1,DATE(YEAR(C69),MONTH(C69)+1,DAY($C$14)+1),DATE(YEAR(C69),MONTH(C69)+1,DAY($C$14))),DATE(YEAR(C69),MONTH(C69)+2,DAY($C$14))),"")))</f>
        <v/>
      </c>
      <c r="D70" s="6" t="str">
        <f t="shared" si="15"/>
        <v/>
      </c>
      <c r="E70" s="4" t="str">
        <f t="shared" si="3"/>
        <v/>
      </c>
      <c r="F70" s="4">
        <f>IF($C$23=0,0,IF(OR(Listas!$K$6=Listas!$L$3,Listas!$K$6=Listas!$L$4),0,IF($C$23="",0,IF(Listas!$D$5=Listas!$C$3,ROUND(IF(B70&lt;=$C$21,IF(ROUND((D69/$T$120)*$C$23*Q70,2)&lt;(1/$T$120),ROUND((1/$T$120),2),ROUND((D69/$T$120)*$C$23,2)*Q70),0),2),IF(Listas!$D$5=Listas!$C$2,ROUND(IF(B70&lt;=$C$21,IF(ROUND(D69*$C$23*Q70,2)&lt;1,1,ROUND(D69*$C$23,2)*Q70),0),2))))))</f>
        <v>0</v>
      </c>
      <c r="G70" s="6" t="str">
        <f t="shared" si="25"/>
        <v/>
      </c>
      <c r="H70" s="6"/>
      <c r="I70" s="6">
        <f t="shared" si="26"/>
        <v>0</v>
      </c>
      <c r="J70" s="5">
        <f t="shared" si="4"/>
        <v>0</v>
      </c>
      <c r="K70" s="126">
        <f t="shared" si="18"/>
        <v>0</v>
      </c>
      <c r="L70" s="5">
        <f t="shared" si="5"/>
        <v>0</v>
      </c>
      <c r="M70" s="5">
        <f t="shared" si="30"/>
        <v>0</v>
      </c>
      <c r="N70" s="5">
        <f t="shared" si="20"/>
        <v>0</v>
      </c>
      <c r="O70" s="81">
        <f t="shared" si="27"/>
        <v>0</v>
      </c>
      <c r="P70" s="81">
        <f t="shared" si="22"/>
        <v>0</v>
      </c>
      <c r="Q70" s="82">
        <f>IF(Listas!$H$21=Listas!$I$15,1,IF(B70&lt;=$C$21,ROUND((EOMONTH(A70,0)-EOMONTH(A69,0))/30,0),0))</f>
        <v>0</v>
      </c>
      <c r="R70" s="138"/>
      <c r="S70" s="179" t="str">
        <f t="shared" si="34"/>
        <v/>
      </c>
      <c r="T70" s="179"/>
      <c r="U70" s="140" t="str">
        <f t="shared" si="35"/>
        <v/>
      </c>
      <c r="V70" s="141" t="str">
        <f t="shared" si="36"/>
        <v/>
      </c>
      <c r="W70" s="141" t="str">
        <f>IF(U69="","",IF(U70="",SUM($W$42:W69),IF(U70=$C$21,V69,Z70-X70-Y70)))</f>
        <v/>
      </c>
      <c r="X70" s="142" t="str">
        <f>IF(U69="","",IF(U70="",SUM($X$42:X69),ROUND(((1+$C$24)^(AG70/30)-1)*V69,2)))</f>
        <v/>
      </c>
      <c r="Y70" s="142">
        <f>IF($C$23=0,0,IF(OR(Listas!$K$6=Listas!$L$3,Listas!$K$6=Listas!$L$4),0,IF($C$23="",0,IF(Listas!$D$5=Listas!$C$3,ROUND(IF(U70&lt;=$C$21,IF(ROUND((V69/$T$120)*$C$23*AI70,2)&lt;(1/$T$120),ROUND((1/$T$120),2),ROUND((V69/$T$120)*$C$23,2)*AI70),0),2),IF(Listas!$D$5=Listas!$C$2,ROUND(IF(U70&lt;=$C$21,IF(ROUND(V69*$C$23*AI70,2)&lt;1,1,ROUND(V69*$C$23,2)*AI70),0),2))))))</f>
        <v>0</v>
      </c>
      <c r="Z70" s="141" t="str">
        <f>IF(U69="","",IF(U70="",SUM($Z$42:Z69),IF(U70=$C$21,SUM(W70,X70,Y70,AQ70),IF(U70&lt;$C$21,$C$34,0))))</f>
        <v/>
      </c>
      <c r="AA70" s="141" t="str">
        <f>IF(U69="","",IF(U70="",SUM($AA$42:AA69),IF(U70&lt;=$C$21,$C$17,0)))</f>
        <v/>
      </c>
      <c r="AB70" s="141">
        <f t="shared" si="10"/>
        <v>0</v>
      </c>
      <c r="AC70" s="109"/>
      <c r="AD70" s="139" t="str">
        <f t="shared" si="32"/>
        <v/>
      </c>
      <c r="AE70" s="40">
        <f t="shared" si="33"/>
        <v>0</v>
      </c>
      <c r="AG70" s="5">
        <f t="shared" si="11"/>
        <v>0</v>
      </c>
      <c r="AH70" s="5">
        <f t="shared" si="12"/>
        <v>0</v>
      </c>
      <c r="AI70" s="82">
        <f>IF(Listas!$H$21=Listas!$I$17,1,IF(U70&lt;=$C$21,ROUND((EOMONTH(S70,0)-EOMONTH(S69,0))/30,0),0))</f>
        <v>0</v>
      </c>
      <c r="AL70" s="77">
        <f t="shared" si="2"/>
        <v>0</v>
      </c>
      <c r="AP70" s="6">
        <f t="shared" si="13"/>
        <v>0</v>
      </c>
      <c r="AQ70" s="5">
        <f t="shared" si="14"/>
        <v>0</v>
      </c>
    </row>
    <row r="71" spans="1:49">
      <c r="A71" s="77" t="str">
        <f>IF(IFERROR(VLOOKUP(C71,Listas!AT:AV,3,FALSE),0)=1,IF(WEEKDAY(C71+1)=7,C71+2,C71+1),C71)</f>
        <v/>
      </c>
      <c r="B71" s="5">
        <v>30</v>
      </c>
      <c r="C71" s="80" t="str">
        <f>IF(B71&gt;$C$21,"",IF(Listas!$I$21=Listas!$I$17,IF(WEEKDAY(C70+$D$13)=1,C70+$D$13+1,C70+$D$13),IF(B71&lt;=$C$21,IF((DATE(YEAR(C70),MONTH(C70)+1,DAY($C$14))-C70)&gt;=27,IF(WEEKDAY(DATE(YEAR(C70),MONTH(C70)+1,DAY($C$14)))=1,DATE(YEAR(C70),MONTH(C70)+1,DAY($C$14)+1),DATE(YEAR(C70),MONTH(C70)+1,DAY($C$14))),DATE(YEAR(C70),MONTH(C70)+2,DAY($C$14))),"")))</f>
        <v/>
      </c>
      <c r="D71" s="6" t="str">
        <f t="shared" si="15"/>
        <v/>
      </c>
      <c r="E71" s="4" t="str">
        <f t="shared" si="3"/>
        <v/>
      </c>
      <c r="F71" s="4">
        <f>IF($C$23=0,0,IF(OR(Listas!$K$6=Listas!$L$3,Listas!$K$6=Listas!$L$4),0,IF($C$23="",0,IF(Listas!$D$5=Listas!$C$3,ROUND(IF(B71&lt;=$C$21,IF(ROUND((D70/$T$120)*$C$23*Q71,2)&lt;(1/$T$120),ROUND((1/$T$120),2),ROUND((D70/$T$120)*$C$23,2)*Q71),0),2),IF(Listas!$D$5=Listas!$C$2,ROUND(IF(B71&lt;=$C$21,IF(ROUND(D70*$C$23*Q71,2)&lt;1,1,ROUND(D70*$C$23,2)*Q71),0),2))))))</f>
        <v>0</v>
      </c>
      <c r="G71" s="6" t="str">
        <f t="shared" si="25"/>
        <v/>
      </c>
      <c r="H71" s="6"/>
      <c r="I71" s="6">
        <f t="shared" si="26"/>
        <v>0</v>
      </c>
      <c r="J71" s="5">
        <f t="shared" si="4"/>
        <v>0</v>
      </c>
      <c r="K71" s="126">
        <f t="shared" si="18"/>
        <v>0</v>
      </c>
      <c r="L71" s="5">
        <f t="shared" si="5"/>
        <v>0</v>
      </c>
      <c r="M71" s="5">
        <f t="shared" si="30"/>
        <v>0</v>
      </c>
      <c r="N71" s="5">
        <f t="shared" si="20"/>
        <v>0</v>
      </c>
      <c r="O71" s="81">
        <f t="shared" si="27"/>
        <v>0</v>
      </c>
      <c r="P71" s="81">
        <f t="shared" si="22"/>
        <v>0</v>
      </c>
      <c r="Q71" s="82">
        <f>IF(Listas!$H$21=Listas!$I$15,1,IF(B71&lt;=$C$21,ROUND((EOMONTH(A71,0)-EOMONTH(A70,0))/30,0),0))</f>
        <v>0</v>
      </c>
      <c r="R71" s="138"/>
      <c r="S71" s="179" t="str">
        <f t="shared" si="34"/>
        <v/>
      </c>
      <c r="T71" s="179"/>
      <c r="U71" s="140" t="str">
        <f t="shared" si="35"/>
        <v/>
      </c>
      <c r="V71" s="141" t="str">
        <f t="shared" si="36"/>
        <v/>
      </c>
      <c r="W71" s="141" t="str">
        <f>IF(U70="","",IF(U71="",SUM($W$42:W70),IF(U71=$C$21,V70,Z71-X71-Y71)))</f>
        <v/>
      </c>
      <c r="X71" s="142" t="str">
        <f>IF(U70="","",IF(U71="",SUM($X$42:X70),ROUND(((1+$C$24)^(AG71/30)-1)*V70,2)))</f>
        <v/>
      </c>
      <c r="Y71" s="142">
        <f>IF($C$23=0,0,IF(OR(Listas!$K$6=Listas!$L$3,Listas!$K$6=Listas!$L$4),0,IF($C$23="",0,IF(Listas!$D$5=Listas!$C$3,ROUND(IF(U71&lt;=$C$21,IF(ROUND((V70/$T$120)*$C$23*AI71,2)&lt;(1/$T$120),ROUND((1/$T$120),2),ROUND((V70/$T$120)*$C$23,2)*AI71),0),2),IF(Listas!$D$5=Listas!$C$2,ROUND(IF(U71&lt;=$C$21,IF(ROUND(V70*$C$23*AI71,2)&lt;1,1,ROUND(V70*$C$23,2)*AI71),0),2))))))</f>
        <v>0</v>
      </c>
      <c r="Z71" s="141" t="str">
        <f>IF(U70="","",IF(U71="",SUM($Z$42:Z70),IF(U71=$C$21,SUM(W71,X71,Y71,AQ71),IF(U71&lt;$C$21,$C$34,0))))</f>
        <v/>
      </c>
      <c r="AA71" s="141" t="str">
        <f>IF(U70="","",IF(U71="",SUM($AA$42:AA70),IF(U71&lt;=$C$21,$C$17,0)))</f>
        <v/>
      </c>
      <c r="AB71" s="141">
        <f t="shared" si="10"/>
        <v>0</v>
      </c>
      <c r="AC71" s="109"/>
      <c r="AD71" s="139" t="str">
        <f t="shared" si="32"/>
        <v/>
      </c>
      <c r="AE71" s="40">
        <f t="shared" si="33"/>
        <v>0</v>
      </c>
      <c r="AG71" s="5">
        <f t="shared" si="11"/>
        <v>0</v>
      </c>
      <c r="AH71" s="5">
        <f t="shared" si="12"/>
        <v>0</v>
      </c>
      <c r="AI71" s="82">
        <f>IF(Listas!$H$21=Listas!$I$17,1,IF(U71&lt;=$C$21,ROUND((EOMONTH(S71,0)-EOMONTH(S70,0))/30,0),0))</f>
        <v>0</v>
      </c>
      <c r="AL71" s="77">
        <f t="shared" si="2"/>
        <v>0</v>
      </c>
      <c r="AP71" s="6">
        <f t="shared" si="13"/>
        <v>0</v>
      </c>
      <c r="AQ71" s="5">
        <f t="shared" si="14"/>
        <v>0</v>
      </c>
    </row>
    <row r="72" spans="1:49">
      <c r="A72" s="77" t="str">
        <f>IF(IFERROR(VLOOKUP(C72,Listas!AT:AV,3,FALSE),0)=1,IF(WEEKDAY(C72+1)=7,C72+2,C72+1),C72)</f>
        <v/>
      </c>
      <c r="B72" s="5">
        <v>31</v>
      </c>
      <c r="C72" s="80" t="str">
        <f>IF(B72&gt;$C$21,"",IF(Listas!$I$21=Listas!$I$17,IF(WEEKDAY(C71+$D$13)=1,C71+$D$13+1,C71+$D$13),IF(B72&lt;=$C$21,IF((DATE(YEAR(C71),MONTH(C71)+1,DAY($C$14))-C71)&gt;=27,IF(WEEKDAY(DATE(YEAR(C71),MONTH(C71)+1,DAY($C$14)))=1,DATE(YEAR(C71),MONTH(C71)+1,DAY($C$14)+1),DATE(YEAR(C71),MONTH(C71)+1,DAY($C$14))),DATE(YEAR(C71),MONTH(C71)+2,DAY($C$14))),"")))</f>
        <v/>
      </c>
      <c r="D72" s="6" t="str">
        <f t="shared" si="15"/>
        <v/>
      </c>
      <c r="E72" s="4" t="str">
        <f t="shared" si="3"/>
        <v/>
      </c>
      <c r="F72" s="4">
        <f>IF($C$23=0,0,IF(OR(Listas!$K$6=Listas!$L$3,Listas!$K$6=Listas!$L$4),0,IF($C$23="",0,IF(Listas!$D$5=Listas!$C$3,ROUND(IF(B72&lt;=$C$21,IF(ROUND((D71/$T$120)*$C$23*Q72,2)&lt;(1/$T$120),ROUND((1/$T$120),2),ROUND((D71/$T$120)*$C$23,2)*Q72),0),2),IF(Listas!$D$5=Listas!$C$2,ROUND(IF(B72&lt;=$C$21,IF(ROUND(D71*$C$23*Q72,2)&lt;1,1,ROUND(D71*$C$23,2)*Q72),0),2))))))</f>
        <v>0</v>
      </c>
      <c r="G72" s="6" t="str">
        <f t="shared" si="25"/>
        <v/>
      </c>
      <c r="H72" s="6"/>
      <c r="I72" s="6">
        <f t="shared" si="26"/>
        <v>0</v>
      </c>
      <c r="J72" s="5">
        <f t="shared" si="4"/>
        <v>0</v>
      </c>
      <c r="K72" s="126">
        <f t="shared" si="18"/>
        <v>0</v>
      </c>
      <c r="L72" s="5">
        <f t="shared" si="5"/>
        <v>0</v>
      </c>
      <c r="M72" s="5">
        <f t="shared" si="30"/>
        <v>0</v>
      </c>
      <c r="N72" s="5">
        <f t="shared" si="20"/>
        <v>0</v>
      </c>
      <c r="O72" s="81">
        <f t="shared" si="27"/>
        <v>0</v>
      </c>
      <c r="P72" s="81">
        <f t="shared" si="22"/>
        <v>0</v>
      </c>
      <c r="Q72" s="82">
        <f>IF(Listas!$H$21=Listas!$I$15,1,IF(B72&lt;=$C$21,ROUND((EOMONTH(A72,0)-EOMONTH(A71,0))/30,0),0))</f>
        <v>0</v>
      </c>
      <c r="R72" s="138"/>
      <c r="S72" s="179" t="str">
        <f t="shared" si="34"/>
        <v/>
      </c>
      <c r="T72" s="179"/>
      <c r="U72" s="140" t="str">
        <f t="shared" si="35"/>
        <v/>
      </c>
      <c r="V72" s="141" t="str">
        <f t="shared" si="36"/>
        <v/>
      </c>
      <c r="W72" s="141" t="str">
        <f>IF(U71="","",IF(U72="",SUM($W$42:W71),IF(U72=$C$21,V71,Z72-X72-Y72)))</f>
        <v/>
      </c>
      <c r="X72" s="142" t="str">
        <f>IF(U71="","",IF(U72="",SUM($X$42:X71),ROUND(((1+$C$24)^(AG72/30)-1)*V71,2)))</f>
        <v/>
      </c>
      <c r="Y72" s="142">
        <f>IF($C$23=0,0,IF(OR(Listas!$K$6=Listas!$L$3,Listas!$K$6=Listas!$L$4),0,IF($C$23="",0,IF(Listas!$D$5=Listas!$C$3,ROUND(IF(U72&lt;=$C$21,IF(ROUND((V71/$T$120)*$C$23*AI72,2)&lt;(1/$T$120),ROUND((1/$T$120),2),ROUND((V71/$T$120)*$C$23,2)*AI72),0),2),IF(Listas!$D$5=Listas!$C$2,ROUND(IF(U72&lt;=$C$21,IF(ROUND(V71*$C$23*AI72,2)&lt;1,1,ROUND(V71*$C$23,2)*AI72),0),2))))))</f>
        <v>0</v>
      </c>
      <c r="Z72" s="141" t="str">
        <f>IF(U71="","",IF(U72="",SUM($Z$42:Z71),IF(U72=$C$21,SUM(W72,X72,Y72,AQ72),IF(U72&lt;$C$21,$C$34,0))))</f>
        <v/>
      </c>
      <c r="AA72" s="141" t="str">
        <f>IF(U71="","",IF(U72="",SUM($AA$42:AA71),IF(U72&lt;=$C$21,$C$17,0)))</f>
        <v/>
      </c>
      <c r="AB72" s="141">
        <f t="shared" si="10"/>
        <v>0</v>
      </c>
      <c r="AC72" s="109"/>
      <c r="AD72" s="139" t="str">
        <f t="shared" si="32"/>
        <v/>
      </c>
      <c r="AE72" s="40">
        <f t="shared" si="33"/>
        <v>0</v>
      </c>
      <c r="AG72" s="5">
        <f t="shared" si="11"/>
        <v>0</v>
      </c>
      <c r="AH72" s="5">
        <f t="shared" si="12"/>
        <v>0</v>
      </c>
      <c r="AI72" s="82">
        <f>IF(Listas!$H$21=Listas!$I$17,1,IF(U72&lt;=$C$21,ROUND((EOMONTH(S72,0)-EOMONTH(S71,0))/30,0),0))</f>
        <v>0</v>
      </c>
      <c r="AL72" s="77">
        <f t="shared" si="2"/>
        <v>0</v>
      </c>
      <c r="AP72" s="6">
        <f t="shared" si="13"/>
        <v>0</v>
      </c>
      <c r="AQ72" s="5">
        <f t="shared" si="14"/>
        <v>0</v>
      </c>
    </row>
    <row r="73" spans="1:49">
      <c r="A73" s="77" t="str">
        <f>IF(IFERROR(VLOOKUP(C73,Listas!AT:AV,3,FALSE),0)=1,IF(WEEKDAY(C73+1)=7,C73+2,C73+1),C73)</f>
        <v/>
      </c>
      <c r="B73" s="5">
        <v>32</v>
      </c>
      <c r="C73" s="80" t="str">
        <f>IF(B73&gt;$C$21,"",IF(Listas!$I$21=Listas!$I$17,IF(WEEKDAY(C72+$D$13)=1,C72+$D$13+1,C72+$D$13),IF(B73&lt;=$C$21,IF((DATE(YEAR(C72),MONTH(C72)+1,DAY($C$14))-C72)&gt;=27,IF(WEEKDAY(DATE(YEAR(C72),MONTH(C72)+1,DAY($C$14)))=1,DATE(YEAR(C72),MONTH(C72)+1,DAY($C$14)+1),DATE(YEAR(C72),MONTH(C72)+1,DAY($C$14))),DATE(YEAR(C72),MONTH(C72)+2,DAY($C$14))),"")))</f>
        <v/>
      </c>
      <c r="D73" s="6" t="str">
        <f t="shared" si="15"/>
        <v/>
      </c>
      <c r="E73" s="4" t="str">
        <f t="shared" si="3"/>
        <v/>
      </c>
      <c r="F73" s="4">
        <f>IF($C$23=0,0,IF(OR(Listas!$K$6=Listas!$L$3,Listas!$K$6=Listas!$L$4),0,IF($C$23="",0,IF(Listas!$D$5=Listas!$C$3,ROUND(IF(B73&lt;=$C$21,IF(ROUND((D72/$T$120)*$C$23*Q73,2)&lt;(1/$T$120),ROUND((1/$T$120),2),ROUND((D72/$T$120)*$C$23,2)*Q73),0),2),IF(Listas!$D$5=Listas!$C$2,ROUND(IF(B73&lt;=$C$21,IF(ROUND(D72*$C$23*Q73,2)&lt;1,1,ROUND(D72*$C$23,2)*Q73),0),2))))))</f>
        <v>0</v>
      </c>
      <c r="G73" s="6" t="str">
        <f t="shared" si="25"/>
        <v/>
      </c>
      <c r="H73" s="6"/>
      <c r="I73" s="6">
        <f t="shared" si="26"/>
        <v>0</v>
      </c>
      <c r="J73" s="5">
        <f t="shared" si="4"/>
        <v>0</v>
      </c>
      <c r="K73" s="126">
        <f t="shared" si="18"/>
        <v>0</v>
      </c>
      <c r="L73" s="5">
        <f t="shared" si="5"/>
        <v>0</v>
      </c>
      <c r="M73" s="5">
        <f t="shared" si="30"/>
        <v>0</v>
      </c>
      <c r="N73" s="5">
        <f t="shared" si="20"/>
        <v>0</v>
      </c>
      <c r="O73" s="81">
        <f t="shared" si="27"/>
        <v>0</v>
      </c>
      <c r="P73" s="81">
        <f t="shared" si="22"/>
        <v>0</v>
      </c>
      <c r="Q73" s="82">
        <f>IF(Listas!$H$21=Listas!$I$15,1,IF(B73&lt;=$C$21,ROUND((EOMONTH(A73,0)-EOMONTH(A72,0))/30,0),0))</f>
        <v>0</v>
      </c>
      <c r="R73" s="138"/>
      <c r="S73" s="179" t="str">
        <f t="shared" si="34"/>
        <v/>
      </c>
      <c r="T73" s="179"/>
      <c r="U73" s="140" t="str">
        <f t="shared" si="35"/>
        <v/>
      </c>
      <c r="V73" s="141" t="str">
        <f t="shared" si="36"/>
        <v/>
      </c>
      <c r="W73" s="141" t="str">
        <f>IF(U72="","",IF(U73="",SUM($W$42:W72),IF(U73=$C$21,V72,Z73-X73-Y73)))</f>
        <v/>
      </c>
      <c r="X73" s="142" t="str">
        <f>IF(U72="","",IF(U73="",SUM($X$42:X72),ROUND(((1+$C$24)^(AG73/30)-1)*V72,2)))</f>
        <v/>
      </c>
      <c r="Y73" s="142">
        <f>IF($C$23=0,0,IF(OR(Listas!$K$6=Listas!$L$3,Listas!$K$6=Listas!$L$4),0,IF($C$23="",0,IF(Listas!$D$5=Listas!$C$3,ROUND(IF(U73&lt;=$C$21,IF(ROUND((V72/$T$120)*$C$23*AI73,2)&lt;(1/$T$120),ROUND((1/$T$120),2),ROUND((V72/$T$120)*$C$23,2)*AI73),0),2),IF(Listas!$D$5=Listas!$C$2,ROUND(IF(U73&lt;=$C$21,IF(ROUND(V72*$C$23*AI73,2)&lt;1,1,ROUND(V72*$C$23,2)*AI73),0),2))))))</f>
        <v>0</v>
      </c>
      <c r="Z73" s="141" t="str">
        <f>IF(U72="","",IF(U73="",SUM($Z$42:Z72),IF(U73=$C$21,SUM(W73,X73,Y73,AQ73),IF(U73&lt;$C$21,$C$34,0))))</f>
        <v/>
      </c>
      <c r="AA73" s="141" t="str">
        <f>IF(U72="","",IF(U73="",SUM($AA$42:AA72),IF(U73&lt;=$C$21,$C$17,0)))</f>
        <v/>
      </c>
      <c r="AB73" s="141">
        <f t="shared" si="10"/>
        <v>0</v>
      </c>
      <c r="AC73" s="109"/>
      <c r="AD73" s="139" t="str">
        <f t="shared" si="32"/>
        <v/>
      </c>
      <c r="AE73" s="40">
        <f t="shared" si="33"/>
        <v>0</v>
      </c>
      <c r="AG73" s="5">
        <f t="shared" si="11"/>
        <v>0</v>
      </c>
      <c r="AH73" s="5">
        <f t="shared" si="12"/>
        <v>0</v>
      </c>
      <c r="AI73" s="82">
        <f>IF(Listas!$H$21=Listas!$I$17,1,IF(U73&lt;=$C$21,ROUND((EOMONTH(S73,0)-EOMONTH(S72,0))/30,0),0))</f>
        <v>0</v>
      </c>
      <c r="AL73" s="77">
        <f t="shared" ref="AL73:AL104" si="37">IF(S73="",0,IF(S73="Total",0,S73))</f>
        <v>0</v>
      </c>
      <c r="AP73" s="6">
        <f t="shared" si="13"/>
        <v>0</v>
      </c>
      <c r="AQ73" s="5">
        <f t="shared" si="14"/>
        <v>0</v>
      </c>
    </row>
    <row r="74" spans="1:49">
      <c r="A74" s="77" t="str">
        <f>IF(IFERROR(VLOOKUP(C74,Listas!AT:AV,3,FALSE),0)=1,IF(WEEKDAY(C74+1)=7,C74+2,C74+1),C74)</f>
        <v/>
      </c>
      <c r="B74" s="5">
        <v>33</v>
      </c>
      <c r="C74" s="80" t="str">
        <f>IF(B74&gt;$C$21,"",IF(Listas!$I$21=Listas!$I$17,IF(WEEKDAY(C73+$D$13)=1,C73+$D$13+1,C73+$D$13),IF(B74&lt;=$C$21,IF((DATE(YEAR(C73),MONTH(C73)+1,DAY($C$14))-C73)&gt;=27,IF(WEEKDAY(DATE(YEAR(C73),MONTH(C73)+1,DAY($C$14)))=1,DATE(YEAR(C73),MONTH(C73)+1,DAY($C$14)+1),DATE(YEAR(C73),MONTH(C73)+1,DAY($C$14))),DATE(YEAR(C73),MONTH(C73)+2,DAY($C$14))),"")))</f>
        <v/>
      </c>
      <c r="D74" s="6" t="str">
        <f t="shared" si="15"/>
        <v/>
      </c>
      <c r="E74" s="4" t="str">
        <f t="shared" si="3"/>
        <v/>
      </c>
      <c r="F74" s="4">
        <f>IF($C$23=0,0,IF(OR(Listas!$K$6=Listas!$L$3,Listas!$K$6=Listas!$L$4),0,IF($C$23="",0,IF(Listas!$D$5=Listas!$C$3,ROUND(IF(B74&lt;=$C$21,IF(ROUND((D73/$T$120)*$C$23*Q74,2)&lt;(1/$T$120),ROUND((1/$T$120),2),ROUND((D73/$T$120)*$C$23,2)*Q74),0),2),IF(Listas!$D$5=Listas!$C$2,ROUND(IF(B74&lt;=$C$21,IF(ROUND(D73*$C$23*Q74,2)&lt;1,1,ROUND(D73*$C$23,2)*Q74),0),2))))))</f>
        <v>0</v>
      </c>
      <c r="G74" s="6" t="str">
        <f t="shared" si="25"/>
        <v/>
      </c>
      <c r="H74" s="6"/>
      <c r="I74" s="6">
        <f t="shared" si="26"/>
        <v>0</v>
      </c>
      <c r="J74" s="5">
        <f t="shared" si="4"/>
        <v>0</v>
      </c>
      <c r="K74" s="126">
        <f t="shared" si="18"/>
        <v>0</v>
      </c>
      <c r="L74" s="5">
        <f t="shared" si="5"/>
        <v>0</v>
      </c>
      <c r="M74" s="5">
        <f t="shared" si="30"/>
        <v>0</v>
      </c>
      <c r="N74" s="5">
        <f t="shared" si="20"/>
        <v>0</v>
      </c>
      <c r="O74" s="81">
        <f t="shared" si="27"/>
        <v>0</v>
      </c>
      <c r="P74" s="81">
        <f t="shared" si="22"/>
        <v>0</v>
      </c>
      <c r="Q74" s="82">
        <f>IF(Listas!$H$21=Listas!$I$15,1,IF(B74&lt;=$C$21,ROUND((EOMONTH(A74,0)-EOMONTH(A73,0))/30,0),0))</f>
        <v>0</v>
      </c>
      <c r="R74" s="138"/>
      <c r="S74" s="179" t="str">
        <f t="shared" si="34"/>
        <v/>
      </c>
      <c r="T74" s="179"/>
      <c r="U74" s="140" t="str">
        <f t="shared" si="35"/>
        <v/>
      </c>
      <c r="V74" s="141" t="str">
        <f t="shared" si="36"/>
        <v/>
      </c>
      <c r="W74" s="141" t="str">
        <f>IF(U73="","",IF(U74="",SUM($W$42:W73),IF(U74=$C$21,V73,Z74-X74-Y74)))</f>
        <v/>
      </c>
      <c r="X74" s="142" t="str">
        <f>IF(U73="","",IF(U74="",SUM($X$42:X73),ROUND(((1+$C$24)^(AG74/30)-1)*V73,2)))</f>
        <v/>
      </c>
      <c r="Y74" s="142">
        <f>IF($C$23=0,0,IF(OR(Listas!$K$6=Listas!$L$3,Listas!$K$6=Listas!$L$4),0,IF($C$23="",0,IF(Listas!$D$5=Listas!$C$3,ROUND(IF(U74&lt;=$C$21,IF(ROUND((V73/$T$120)*$C$23*AI74,2)&lt;(1/$T$120),ROUND((1/$T$120),2),ROUND((V73/$T$120)*$C$23,2)*AI74),0),2),IF(Listas!$D$5=Listas!$C$2,ROUND(IF(U74&lt;=$C$21,IF(ROUND(V73*$C$23*AI74,2)&lt;1,1,ROUND(V73*$C$23,2)*AI74),0),2))))))</f>
        <v>0</v>
      </c>
      <c r="Z74" s="141" t="str">
        <f>IF(U73="","",IF(U74="",SUM($Z$42:Z73),IF(U74=$C$21,SUM(W74,X74,Y74,AQ74),IF(U74&lt;$C$21,$C$34,0))))</f>
        <v/>
      </c>
      <c r="AA74" s="141" t="str">
        <f>IF(U73="","",IF(U74="",SUM($AA$42:AA73),IF(U74&lt;=$C$21,$C$17,0)))</f>
        <v/>
      </c>
      <c r="AB74" s="141">
        <f t="shared" ref="AB74:AB105" si="38">SUM(Z74:AA74)</f>
        <v>0</v>
      </c>
      <c r="AC74" s="109"/>
      <c r="AD74" s="139" t="str">
        <f t="shared" si="32"/>
        <v/>
      </c>
      <c r="AE74" s="40">
        <f t="shared" si="33"/>
        <v>0</v>
      </c>
      <c r="AG74" s="5">
        <f t="shared" ref="AG74:AG105" si="39">IF(U74&lt;=$C$21,S74-S73,0)</f>
        <v>0</v>
      </c>
      <c r="AH74" s="5">
        <f t="shared" si="12"/>
        <v>0</v>
      </c>
      <c r="AI74" s="82">
        <f>IF(Listas!$H$21=Listas!$I$17,1,IF(U74&lt;=$C$21,ROUND((EOMONTH(S74,0)-EOMONTH(S73,0))/30,0),0))</f>
        <v>0</v>
      </c>
      <c r="AL74" s="77">
        <f t="shared" si="37"/>
        <v>0</v>
      </c>
      <c r="AP74" s="6">
        <f t="shared" ref="AP74:AP105" si="40">IF(S74="Total",0,IF(S74="",0,Z74))</f>
        <v>0</v>
      </c>
      <c r="AQ74" s="5">
        <f t="shared" ref="AQ74:AQ105" si="41">IF(U74&lt;=$C$21,$C$15,0)</f>
        <v>0</v>
      </c>
    </row>
    <row r="75" spans="1:49">
      <c r="A75" s="77" t="str">
        <f>IF(IFERROR(VLOOKUP(C75,Listas!AT:AV,3,FALSE),0)=1,IF(WEEKDAY(C75+1)=7,C75+2,C75+1),C75)</f>
        <v/>
      </c>
      <c r="B75" s="5">
        <v>34</v>
      </c>
      <c r="C75" s="80" t="str">
        <f>IF(B75&gt;$C$21,"",IF(Listas!$I$21=Listas!$I$17,IF(WEEKDAY(C74+$D$13)=1,C74+$D$13+1,C74+$D$13),IF(B75&lt;=$C$21,IF((DATE(YEAR(C74),MONTH(C74)+1,DAY($C$14))-C74)&gt;=27,IF(WEEKDAY(DATE(YEAR(C74),MONTH(C74)+1,DAY($C$14)))=1,DATE(YEAR(C74),MONTH(C74)+1,DAY($C$14)+1),DATE(YEAR(C74),MONTH(C74)+1,DAY($C$14))),DATE(YEAR(C74),MONTH(C74)+2,DAY($C$14))),"")))</f>
        <v/>
      </c>
      <c r="D75" s="6" t="str">
        <f t="shared" si="15"/>
        <v/>
      </c>
      <c r="E75" s="4" t="str">
        <f t="shared" si="3"/>
        <v/>
      </c>
      <c r="F75" s="4">
        <f>IF($C$23=0,0,IF(OR(Listas!$K$6=Listas!$L$3,Listas!$K$6=Listas!$L$4),0,IF($C$23="",0,IF(Listas!$D$5=Listas!$C$3,ROUND(IF(B75&lt;=$C$21,IF(ROUND((D74/$T$120)*$C$23*Q75,2)&lt;(1/$T$120),ROUND((1/$T$120),2),ROUND((D74/$T$120)*$C$23,2)*Q75),0),2),IF(Listas!$D$5=Listas!$C$2,ROUND(IF(B75&lt;=$C$21,IF(ROUND(D74*$C$23*Q75,2)&lt;1,1,ROUND(D74*$C$23,2)*Q75),0),2))))))</f>
        <v>0</v>
      </c>
      <c r="G75" s="6" t="str">
        <f t="shared" si="25"/>
        <v/>
      </c>
      <c r="H75" s="6"/>
      <c r="I75" s="6">
        <f t="shared" si="26"/>
        <v>0</v>
      </c>
      <c r="J75" s="5">
        <f t="shared" si="4"/>
        <v>0</v>
      </c>
      <c r="K75" s="126">
        <f t="shared" si="18"/>
        <v>0</v>
      </c>
      <c r="L75" s="5">
        <f t="shared" si="5"/>
        <v>0</v>
      </c>
      <c r="M75" s="5">
        <f t="shared" si="30"/>
        <v>0</v>
      </c>
      <c r="N75" s="5">
        <f t="shared" si="20"/>
        <v>0</v>
      </c>
      <c r="O75" s="81">
        <f t="shared" si="27"/>
        <v>0</v>
      </c>
      <c r="P75" s="81">
        <f t="shared" si="22"/>
        <v>0</v>
      </c>
      <c r="Q75" s="82">
        <f>IF(Listas!$H$21=Listas!$I$15,1,IF(B75&lt;=$C$21,ROUND((EOMONTH(A75,0)-EOMONTH(A74,0))/30,0),0))</f>
        <v>0</v>
      </c>
      <c r="R75" s="138"/>
      <c r="S75" s="179" t="str">
        <f t="shared" si="34"/>
        <v/>
      </c>
      <c r="T75" s="179"/>
      <c r="U75" s="140" t="str">
        <f t="shared" si="35"/>
        <v/>
      </c>
      <c r="V75" s="141" t="str">
        <f t="shared" si="36"/>
        <v/>
      </c>
      <c r="W75" s="141" t="str">
        <f>IF(U74="","",IF(U75="",SUM($W$42:W74),IF(U75=$C$21,V74,Z75-X75-Y75)))</f>
        <v/>
      </c>
      <c r="X75" s="142" t="str">
        <f>IF(U74="","",IF(U75="",SUM($X$42:X74),ROUND(((1+$C$24)^(AG75/30)-1)*V74,2)))</f>
        <v/>
      </c>
      <c r="Y75" s="142">
        <f>IF($C$23=0,0,IF(OR(Listas!$K$6=Listas!$L$3,Listas!$K$6=Listas!$L$4),0,IF($C$23="",0,IF(Listas!$D$5=Listas!$C$3,ROUND(IF(U75&lt;=$C$21,IF(ROUND((V74/$T$120)*$C$23*AI75,2)&lt;(1/$T$120),ROUND((1/$T$120),2),ROUND((V74/$T$120)*$C$23,2)*AI75),0),2),IF(Listas!$D$5=Listas!$C$2,ROUND(IF(U75&lt;=$C$21,IF(ROUND(V74*$C$23*AI75,2)&lt;1,1,ROUND(V74*$C$23,2)*AI75),0),2))))))</f>
        <v>0</v>
      </c>
      <c r="Z75" s="141" t="str">
        <f>IF(U74="","",IF(U75="",SUM($Z$42:Z74),IF(U75=$C$21,SUM(W75,X75,Y75,AQ75),IF(U75&lt;$C$21,$C$34,0))))</f>
        <v/>
      </c>
      <c r="AA75" s="141" t="str">
        <f>IF(U74="","",IF(U75="",SUM($AA$42:AA74),IF(U75&lt;=$C$21,$C$17,0)))</f>
        <v/>
      </c>
      <c r="AB75" s="141">
        <f t="shared" si="38"/>
        <v>0</v>
      </c>
      <c r="AC75" s="109"/>
      <c r="AD75" s="139" t="str">
        <f t="shared" si="32"/>
        <v/>
      </c>
      <c r="AE75" s="40">
        <f t="shared" si="33"/>
        <v>0</v>
      </c>
      <c r="AG75" s="5">
        <f t="shared" si="39"/>
        <v>0</v>
      </c>
      <c r="AH75" s="5">
        <f t="shared" si="12"/>
        <v>0</v>
      </c>
      <c r="AI75" s="82">
        <f>IF(Listas!$H$21=Listas!$I$17,1,IF(U75&lt;=$C$21,ROUND((EOMONTH(S75,0)-EOMONTH(S74,0))/30,0),0))</f>
        <v>0</v>
      </c>
      <c r="AL75" s="77">
        <f t="shared" si="37"/>
        <v>0</v>
      </c>
      <c r="AP75" s="6">
        <f t="shared" si="40"/>
        <v>0</v>
      </c>
      <c r="AQ75" s="5">
        <f t="shared" si="41"/>
        <v>0</v>
      </c>
    </row>
    <row r="76" spans="1:49">
      <c r="A76" s="77" t="str">
        <f>IF(IFERROR(VLOOKUP(C76,Listas!AT:AV,3,FALSE),0)=1,IF(WEEKDAY(C76+1)=7,C76+2,C76+1),C76)</f>
        <v/>
      </c>
      <c r="B76" s="5">
        <v>35</v>
      </c>
      <c r="C76" s="80" t="str">
        <f>IF(B76&gt;$C$21,"",IF(Listas!$I$21=Listas!$I$17,IF(WEEKDAY(C75+$D$13)=1,C75+$D$13+1,C75+$D$13),IF(B76&lt;=$C$21,IF((DATE(YEAR(C75),MONTH(C75)+1,DAY($C$14))-C75)&gt;=27,IF(WEEKDAY(DATE(YEAR(C75),MONTH(C75)+1,DAY($C$14)))=1,DATE(YEAR(C75),MONTH(C75)+1,DAY($C$14)+1),DATE(YEAR(C75),MONTH(C75)+1,DAY($C$14))),DATE(YEAR(C75),MONTH(C75)+2,DAY($C$14))),"")))</f>
        <v/>
      </c>
      <c r="D76" s="6" t="str">
        <f t="shared" si="15"/>
        <v/>
      </c>
      <c r="E76" s="4" t="str">
        <f t="shared" si="3"/>
        <v/>
      </c>
      <c r="F76" s="4">
        <f>IF($C$23=0,0,IF(OR(Listas!$K$6=Listas!$L$3,Listas!$K$6=Listas!$L$4),0,IF($C$23="",0,IF(Listas!$D$5=Listas!$C$3,ROUND(IF(B76&lt;=$C$21,IF(ROUND((D75/$T$120)*$C$23*Q76,2)&lt;(1/$T$120),ROUND((1/$T$120),2),ROUND((D75/$T$120)*$C$23,2)*Q76),0),2),IF(Listas!$D$5=Listas!$C$2,ROUND(IF(B76&lt;=$C$21,IF(ROUND(D75*$C$23*Q76,2)&lt;1,1,ROUND(D75*$C$23,2)*Q76),0),2))))))</f>
        <v>0</v>
      </c>
      <c r="G76" s="6" t="str">
        <f t="shared" si="25"/>
        <v/>
      </c>
      <c r="H76" s="6"/>
      <c r="I76" s="6">
        <f t="shared" si="26"/>
        <v>0</v>
      </c>
      <c r="J76" s="5">
        <f t="shared" si="4"/>
        <v>0</v>
      </c>
      <c r="K76" s="126">
        <f t="shared" si="18"/>
        <v>0</v>
      </c>
      <c r="L76" s="5">
        <f t="shared" si="5"/>
        <v>0</v>
      </c>
      <c r="M76" s="5">
        <f t="shared" si="30"/>
        <v>0</v>
      </c>
      <c r="N76" s="5">
        <f t="shared" si="20"/>
        <v>0</v>
      </c>
      <c r="O76" s="81">
        <f t="shared" si="27"/>
        <v>0</v>
      </c>
      <c r="P76" s="81">
        <f t="shared" si="22"/>
        <v>0</v>
      </c>
      <c r="Q76" s="82">
        <f>IF(Listas!$H$21=Listas!$I$15,1,IF(B76&lt;=$C$21,ROUND((EOMONTH(A76,0)-EOMONTH(A75,0))/30,0),0))</f>
        <v>0</v>
      </c>
      <c r="R76" s="138"/>
      <c r="S76" s="179" t="str">
        <f t="shared" si="34"/>
        <v/>
      </c>
      <c r="T76" s="179"/>
      <c r="U76" s="140" t="str">
        <f t="shared" si="35"/>
        <v/>
      </c>
      <c r="V76" s="141" t="str">
        <f t="shared" si="36"/>
        <v/>
      </c>
      <c r="W76" s="141" t="str">
        <f>IF(U75="","",IF(U76="",SUM($W$42:W75),IF(U76=$C$21,V75,Z76-X76-Y76)))</f>
        <v/>
      </c>
      <c r="X76" s="142" t="str">
        <f>IF(U75="","",IF(U76="",SUM($X$42:X75),ROUND(((1+$C$24)^(AG76/30)-1)*V75,2)))</f>
        <v/>
      </c>
      <c r="Y76" s="142">
        <f>IF($C$23=0,0,IF(OR(Listas!$K$6=Listas!$L$3,Listas!$K$6=Listas!$L$4),0,IF($C$23="",0,IF(Listas!$D$5=Listas!$C$3,ROUND(IF(U76&lt;=$C$21,IF(ROUND((V75/$T$120)*$C$23*AI76,2)&lt;(1/$T$120),ROUND((1/$T$120),2),ROUND((V75/$T$120)*$C$23,2)*AI76),0),2),IF(Listas!$D$5=Listas!$C$2,ROUND(IF(U76&lt;=$C$21,IF(ROUND(V75*$C$23*AI76,2)&lt;1,1,ROUND(V75*$C$23,2)*AI76),0),2))))))</f>
        <v>0</v>
      </c>
      <c r="Z76" s="141" t="str">
        <f>IF(U75="","",IF(U76="",SUM($Z$42:Z75),IF(U76=$C$21,SUM(W76,X76,Y76,AQ76),IF(U76&lt;$C$21,$C$34,0))))</f>
        <v/>
      </c>
      <c r="AA76" s="141" t="str">
        <f>IF(U75="","",IF(U76="",SUM($AA$42:AA75),IF(U76&lt;=$C$21,$C$17,0)))</f>
        <v/>
      </c>
      <c r="AB76" s="141">
        <f t="shared" si="38"/>
        <v>0</v>
      </c>
      <c r="AC76" s="109"/>
      <c r="AD76" s="139" t="str">
        <f t="shared" si="32"/>
        <v/>
      </c>
      <c r="AE76" s="40">
        <f t="shared" si="33"/>
        <v>0</v>
      </c>
      <c r="AG76" s="5">
        <f t="shared" si="39"/>
        <v>0</v>
      </c>
      <c r="AH76" s="5">
        <f t="shared" si="12"/>
        <v>0</v>
      </c>
      <c r="AI76" s="82">
        <f>IF(Listas!$H$21=Listas!$I$17,1,IF(U76&lt;=$C$21,ROUND((EOMONTH(S76,0)-EOMONTH(S75,0))/30,0),0))</f>
        <v>0</v>
      </c>
      <c r="AL76" s="77">
        <f t="shared" si="37"/>
        <v>0</v>
      </c>
      <c r="AP76" s="6">
        <f t="shared" si="40"/>
        <v>0</v>
      </c>
      <c r="AQ76" s="5">
        <f t="shared" si="41"/>
        <v>0</v>
      </c>
    </row>
    <row r="77" spans="1:49">
      <c r="A77" s="77" t="str">
        <f>IF(IFERROR(VLOOKUP(C77,Listas!AT:AV,3,FALSE),0)=1,IF(WEEKDAY(C77+1)=7,C77+2,C77+1),C77)</f>
        <v/>
      </c>
      <c r="B77" s="5">
        <v>36</v>
      </c>
      <c r="C77" s="80" t="str">
        <f>IF(B77&gt;$C$21,"",IF(Listas!$I$21=Listas!$I$17,IF(WEEKDAY(C76+$D$13)=1,C76+$D$13+1,C76+$D$13),IF(B77&lt;=$C$21,IF((DATE(YEAR(C76),MONTH(C76)+1,DAY($C$14))-C76)&gt;=27,IF(WEEKDAY(DATE(YEAR(C76),MONTH(C76)+1,DAY($C$14)))=1,DATE(YEAR(C76),MONTH(C76)+1,DAY($C$14)+1),DATE(YEAR(C76),MONTH(C76)+1,DAY($C$14))),DATE(YEAR(C76),MONTH(C76)+2,DAY($C$14))),"")))</f>
        <v/>
      </c>
      <c r="D77" s="6" t="str">
        <f t="shared" si="15"/>
        <v/>
      </c>
      <c r="E77" s="4" t="str">
        <f t="shared" si="3"/>
        <v/>
      </c>
      <c r="F77" s="4">
        <f>IF($C$23=0,0,IF(OR(Listas!$K$6=Listas!$L$3,Listas!$K$6=Listas!$L$4),0,IF($C$23="",0,IF(Listas!$D$5=Listas!$C$3,ROUND(IF(B77&lt;=$C$21,IF(ROUND((D76/$T$120)*$C$23*Q77,2)&lt;(1/$T$120),ROUND((1/$T$120),2),ROUND((D76/$T$120)*$C$23,2)*Q77),0),2),IF(Listas!$D$5=Listas!$C$2,ROUND(IF(B77&lt;=$C$21,IF(ROUND(D76*$C$23*Q77,2)&lt;1,1,ROUND(D76*$C$23,2)*Q77),0),2))))))</f>
        <v>0</v>
      </c>
      <c r="G77" s="6" t="str">
        <f t="shared" si="25"/>
        <v/>
      </c>
      <c r="H77" s="6"/>
      <c r="I77" s="6">
        <f t="shared" si="26"/>
        <v>0</v>
      </c>
      <c r="J77" s="5">
        <f t="shared" si="4"/>
        <v>0</v>
      </c>
      <c r="K77" s="126">
        <f t="shared" si="18"/>
        <v>0</v>
      </c>
      <c r="L77" s="5">
        <f t="shared" si="5"/>
        <v>0</v>
      </c>
      <c r="M77" s="5">
        <f t="shared" si="30"/>
        <v>0</v>
      </c>
      <c r="N77" s="5">
        <f t="shared" si="20"/>
        <v>0</v>
      </c>
      <c r="O77" s="81">
        <f t="shared" si="27"/>
        <v>0</v>
      </c>
      <c r="P77" s="81">
        <f t="shared" si="22"/>
        <v>0</v>
      </c>
      <c r="Q77" s="82">
        <f>IF(Listas!$H$21=Listas!$I$15,1,IF(B77&lt;=$C$21,ROUND((EOMONTH(A77,0)-EOMONTH(A76,0))/30,0),0))</f>
        <v>0</v>
      </c>
      <c r="R77" s="138"/>
      <c r="S77" s="179" t="str">
        <f t="shared" si="34"/>
        <v/>
      </c>
      <c r="T77" s="179"/>
      <c r="U77" s="140" t="str">
        <f t="shared" si="35"/>
        <v/>
      </c>
      <c r="V77" s="141" t="str">
        <f t="shared" si="36"/>
        <v/>
      </c>
      <c r="W77" s="141" t="str">
        <f>IF(U76="","",IF(U77="",SUM($W$42:W76),IF(U77=$C$21,V76,Z77-X77-Y77)))</f>
        <v/>
      </c>
      <c r="X77" s="142" t="str">
        <f>IF(U76="","",IF(U77="",SUM($X$42:X76),ROUND(((1+$C$24)^(AG77/30)-1)*V76,2)))</f>
        <v/>
      </c>
      <c r="Y77" s="142">
        <f>IF($C$23=0,0,IF(OR(Listas!$K$6=Listas!$L$3,Listas!$K$6=Listas!$L$4),0,IF($C$23="",0,IF(Listas!$D$5=Listas!$C$3,ROUND(IF(U77&lt;=$C$21,IF(ROUND((V76/$T$120)*$C$23*AI77,2)&lt;(1/$T$120),ROUND((1/$T$120),2),ROUND((V76/$T$120)*$C$23,2)*AI77),0),2),IF(Listas!$D$5=Listas!$C$2,ROUND(IF(U77&lt;=$C$21,IF(ROUND(V76*$C$23*AI77,2)&lt;1,1,ROUND(V76*$C$23,2)*AI77),0),2))))))</f>
        <v>0</v>
      </c>
      <c r="Z77" s="141" t="str">
        <f>IF(U76="","",IF(U77="",SUM($Z$42:Z76),IF(U77=$C$21,SUM(W77,X77,Y77,AQ77),IF(U77&lt;$C$21,$C$34,0))))</f>
        <v/>
      </c>
      <c r="AA77" s="141" t="str">
        <f>IF(U76="","",IF(U77="",SUM($AA$42:AA76),IF(U77&lt;=$C$21,$C$17,0)))</f>
        <v/>
      </c>
      <c r="AB77" s="141">
        <f t="shared" si="38"/>
        <v>0</v>
      </c>
      <c r="AC77" s="109"/>
      <c r="AD77" s="139" t="str">
        <f t="shared" si="32"/>
        <v/>
      </c>
      <c r="AE77" s="40">
        <f t="shared" si="33"/>
        <v>0</v>
      </c>
      <c r="AG77" s="5">
        <f t="shared" si="39"/>
        <v>0</v>
      </c>
      <c r="AH77" s="5">
        <f t="shared" si="12"/>
        <v>0</v>
      </c>
      <c r="AI77" s="82">
        <f>IF(Listas!$H$21=Listas!$I$17,1,IF(U77&lt;=$C$21,ROUND((EOMONTH(S77,0)-EOMONTH(S76,0))/30,0),0))</f>
        <v>0</v>
      </c>
      <c r="AL77" s="77">
        <f t="shared" si="37"/>
        <v>0</v>
      </c>
      <c r="AP77" s="6">
        <f t="shared" si="40"/>
        <v>0</v>
      </c>
      <c r="AQ77" s="5">
        <f t="shared" si="41"/>
        <v>0</v>
      </c>
    </row>
    <row r="78" spans="1:49">
      <c r="A78" s="77" t="str">
        <f>IF(IFERROR(VLOOKUP(C78,Listas!AT:AV,3,FALSE),0)=1,IF(WEEKDAY(C78+1)=7,C78+2,C78+1),C78)</f>
        <v/>
      </c>
      <c r="B78" s="5">
        <v>37</v>
      </c>
      <c r="C78" s="80" t="str">
        <f>IF(B78&gt;$C$21,"",IF(Listas!$I$21=Listas!$I$17,IF(WEEKDAY(C77+$D$13)=1,C77+$D$13+1,C77+$D$13),IF(B78&lt;=$C$21,IF((DATE(YEAR(C77),MONTH(C77)+1,DAY($C$14))-C77)&gt;=27,IF(WEEKDAY(DATE(YEAR(C77),MONTH(C77)+1,DAY($C$14)))=1,DATE(YEAR(C77),MONTH(C77)+1,DAY($C$14)+1),DATE(YEAR(C77),MONTH(C77)+1,DAY($C$14))),DATE(YEAR(C77),MONTH(C77)+2,DAY($C$14))),"")))</f>
        <v/>
      </c>
      <c r="D78" s="6" t="str">
        <f t="shared" si="15"/>
        <v/>
      </c>
      <c r="E78" s="4" t="str">
        <f t="shared" si="3"/>
        <v/>
      </c>
      <c r="F78" s="4">
        <f>IF($C$23=0,0,IF(OR(Listas!$K$6=Listas!$L$3,Listas!$K$6=Listas!$L$4),0,IF($C$23="",0,IF(Listas!$D$5=Listas!$C$3,ROUND(IF(B78&lt;=$C$21,IF(ROUND((D77/$T$120)*$C$23*Q78,2)&lt;(1/$T$120),ROUND((1/$T$120),2),ROUND((D77/$T$120)*$C$23,2)*Q78),0),2),IF(Listas!$D$5=Listas!$C$2,ROUND(IF(B78&lt;=$C$21,IF(ROUND(D77*$C$23*Q78,2)&lt;1,1,ROUND(D77*$C$23,2)*Q78),0),2))))))</f>
        <v>0</v>
      </c>
      <c r="G78" s="6" t="str">
        <f t="shared" si="25"/>
        <v/>
      </c>
      <c r="H78" s="6"/>
      <c r="I78" s="6">
        <f t="shared" si="26"/>
        <v>0</v>
      </c>
      <c r="J78" s="5">
        <f t="shared" si="4"/>
        <v>0</v>
      </c>
      <c r="K78" s="126">
        <f t="shared" si="18"/>
        <v>0</v>
      </c>
      <c r="L78" s="5">
        <f t="shared" si="5"/>
        <v>0</v>
      </c>
      <c r="M78" s="5">
        <f t="shared" si="30"/>
        <v>0</v>
      </c>
      <c r="N78" s="5">
        <f t="shared" si="20"/>
        <v>0</v>
      </c>
      <c r="O78" s="81">
        <f t="shared" si="27"/>
        <v>0</v>
      </c>
      <c r="P78" s="81">
        <f t="shared" si="22"/>
        <v>0</v>
      </c>
      <c r="Q78" s="82">
        <f>IF(Listas!$H$21=Listas!$I$15,1,IF(B78&lt;=$C$21,ROUND((EOMONTH(A78,0)-EOMONTH(A77,0))/30,0),0))</f>
        <v>0</v>
      </c>
      <c r="R78" s="138"/>
      <c r="S78" s="179" t="str">
        <f t="shared" si="34"/>
        <v/>
      </c>
      <c r="T78" s="179"/>
      <c r="U78" s="140" t="str">
        <f t="shared" si="35"/>
        <v/>
      </c>
      <c r="V78" s="141" t="str">
        <f t="shared" si="36"/>
        <v/>
      </c>
      <c r="W78" s="141" t="str">
        <f>IF(U77="","",IF(U78="",SUM($W$42:W77),IF(U78=$C$21,V77,Z78-X78-Y78)))</f>
        <v/>
      </c>
      <c r="X78" s="142" t="str">
        <f>IF(U77="","",IF(U78="",SUM($X$42:X77),ROUND(((1+$C$24)^(AG78/30)-1)*V77,2)))</f>
        <v/>
      </c>
      <c r="Y78" s="142">
        <f>IF($C$23=0,0,IF(OR(Listas!$K$6=Listas!$L$3,Listas!$K$6=Listas!$L$4),0,IF($C$23="",0,IF(Listas!$D$5=Listas!$C$3,ROUND(IF(U78&lt;=$C$21,IF(ROUND((V77/$T$120)*$C$23*AI78,2)&lt;(1/$T$120),ROUND((1/$T$120),2),ROUND((V77/$T$120)*$C$23,2)*AI78),0),2),IF(Listas!$D$5=Listas!$C$2,ROUND(IF(U78&lt;=$C$21,IF(ROUND(V77*$C$23*AI78,2)&lt;1,1,ROUND(V77*$C$23,2)*AI78),0),2))))))</f>
        <v>0</v>
      </c>
      <c r="Z78" s="141" t="str">
        <f>IF(U77="","",IF(U78="",SUM($Z$42:Z77),IF(U78=$C$21,SUM(W78,X78,Y78,AQ78),IF(U78&lt;$C$21,$C$34,0))))</f>
        <v/>
      </c>
      <c r="AA78" s="141" t="str">
        <f>IF(U77="","",IF(U78="",SUM($AA$42:AA77),IF(U78&lt;=$C$21,$C$17,0)))</f>
        <v/>
      </c>
      <c r="AB78" s="141">
        <f t="shared" si="38"/>
        <v>0</v>
      </c>
      <c r="AC78" s="109"/>
      <c r="AD78" s="139" t="str">
        <f t="shared" si="32"/>
        <v/>
      </c>
      <c r="AE78" s="40">
        <f t="shared" si="33"/>
        <v>0</v>
      </c>
      <c r="AG78" s="5">
        <f t="shared" si="39"/>
        <v>0</v>
      </c>
      <c r="AH78" s="5">
        <f t="shared" si="12"/>
        <v>0</v>
      </c>
      <c r="AI78" s="82">
        <f>IF(Listas!$H$21=Listas!$I$17,1,IF(U78&lt;=$C$21,ROUND((EOMONTH(S78,0)-EOMONTH(S77,0))/30,0),0))</f>
        <v>0</v>
      </c>
      <c r="AL78" s="77">
        <f t="shared" si="37"/>
        <v>0</v>
      </c>
      <c r="AP78" s="6">
        <f t="shared" si="40"/>
        <v>0</v>
      </c>
      <c r="AQ78" s="5">
        <f t="shared" si="41"/>
        <v>0</v>
      </c>
    </row>
    <row r="79" spans="1:49">
      <c r="A79" s="77" t="str">
        <f>IF(IFERROR(VLOOKUP(C79,Listas!AT:AV,3,FALSE),0)=1,IF(WEEKDAY(C79+1)=7,C79+2,C79+1),C79)</f>
        <v/>
      </c>
      <c r="B79" s="5">
        <v>38</v>
      </c>
      <c r="C79" s="80" t="str">
        <f>IF(B79&gt;$C$21,"",IF(Listas!$I$21=Listas!$I$17,IF(WEEKDAY(C78+$D$13)=1,C78+$D$13+1,C78+$D$13),IF(B79&lt;=$C$21,IF((DATE(YEAR(C78),MONTH(C78)+1,DAY($C$14))-C78)&gt;=27,IF(WEEKDAY(DATE(YEAR(C78),MONTH(C78)+1,DAY($C$14)))=1,DATE(YEAR(C78),MONTH(C78)+1,DAY($C$14)+1),DATE(YEAR(C78),MONTH(C78)+1,DAY($C$14))),DATE(YEAR(C78),MONTH(C78)+2,DAY($C$14))),"")))</f>
        <v/>
      </c>
      <c r="D79" s="6" t="str">
        <f t="shared" si="15"/>
        <v/>
      </c>
      <c r="E79" s="4" t="str">
        <f t="shared" si="3"/>
        <v/>
      </c>
      <c r="F79" s="4">
        <f>IF($C$23=0,0,IF(OR(Listas!$K$6=Listas!$L$3,Listas!$K$6=Listas!$L$4),0,IF($C$23="",0,IF(Listas!$D$5=Listas!$C$3,ROUND(IF(B79&lt;=$C$21,IF(ROUND((D78/$T$120)*$C$23*Q79,2)&lt;(1/$T$120),ROUND((1/$T$120),2),ROUND((D78/$T$120)*$C$23,2)*Q79),0),2),IF(Listas!$D$5=Listas!$C$2,ROUND(IF(B79&lt;=$C$21,IF(ROUND(D78*$C$23*Q79,2)&lt;1,1,ROUND(D78*$C$23,2)*Q79),0),2))))))</f>
        <v>0</v>
      </c>
      <c r="G79" s="6" t="str">
        <f t="shared" si="25"/>
        <v/>
      </c>
      <c r="H79" s="6"/>
      <c r="I79" s="6">
        <f t="shared" si="26"/>
        <v>0</v>
      </c>
      <c r="J79" s="5">
        <f t="shared" si="4"/>
        <v>0</v>
      </c>
      <c r="K79" s="126">
        <f t="shared" si="18"/>
        <v>0</v>
      </c>
      <c r="L79" s="5">
        <f t="shared" si="5"/>
        <v>0</v>
      </c>
      <c r="M79" s="5">
        <f t="shared" si="30"/>
        <v>0</v>
      </c>
      <c r="N79" s="5">
        <f t="shared" si="20"/>
        <v>0</v>
      </c>
      <c r="O79" s="81">
        <f t="shared" si="27"/>
        <v>0</v>
      </c>
      <c r="P79" s="81">
        <f t="shared" si="22"/>
        <v>0</v>
      </c>
      <c r="Q79" s="82">
        <f>IF(Listas!$H$21=Listas!$I$15,1,IF(B79&lt;=$C$21,ROUND((EOMONTH(A79,0)-EOMONTH(A78,0))/30,0),0))</f>
        <v>0</v>
      </c>
      <c r="R79" s="138"/>
      <c r="S79" s="179" t="str">
        <f t="shared" si="34"/>
        <v/>
      </c>
      <c r="T79" s="179"/>
      <c r="U79" s="140" t="str">
        <f t="shared" si="35"/>
        <v/>
      </c>
      <c r="V79" s="141" t="str">
        <f t="shared" si="36"/>
        <v/>
      </c>
      <c r="W79" s="141" t="str">
        <f>IF(U78="","",IF(U79="",SUM($W$42:W78),IF(U79=$C$21,V78,Z79-X79-Y79)))</f>
        <v/>
      </c>
      <c r="X79" s="142" t="str">
        <f>IF(U78="","",IF(U79="",SUM($X$42:X78),ROUND(((1+$C$24)^(AG79/30)-1)*V78,2)))</f>
        <v/>
      </c>
      <c r="Y79" s="142">
        <f>IF($C$23=0,0,IF(OR(Listas!$K$6=Listas!$L$3,Listas!$K$6=Listas!$L$4),0,IF($C$23="",0,IF(Listas!$D$5=Listas!$C$3,ROUND(IF(U79&lt;=$C$21,IF(ROUND((V78/$T$120)*$C$23*AI79,2)&lt;(1/$T$120),ROUND((1/$T$120),2),ROUND((V78/$T$120)*$C$23,2)*AI79),0),2),IF(Listas!$D$5=Listas!$C$2,ROUND(IF(U79&lt;=$C$21,IF(ROUND(V78*$C$23*AI79,2)&lt;1,1,ROUND(V78*$C$23,2)*AI79),0),2))))))</f>
        <v>0</v>
      </c>
      <c r="Z79" s="141" t="str">
        <f>IF(U78="","",IF(U79="",SUM($Z$42:Z78),IF(U79=$C$21,SUM(W79,X79,Y79,AQ79),IF(U79&lt;$C$21,$C$34,0))))</f>
        <v/>
      </c>
      <c r="AA79" s="141" t="str">
        <f>IF(U78="","",IF(U79="",SUM($AA$42:AA78),IF(U79&lt;=$C$21,$C$17,0)))</f>
        <v/>
      </c>
      <c r="AB79" s="141">
        <f t="shared" si="38"/>
        <v>0</v>
      </c>
      <c r="AC79" s="109"/>
      <c r="AD79" s="139" t="str">
        <f t="shared" si="32"/>
        <v/>
      </c>
      <c r="AE79" s="40">
        <f t="shared" si="33"/>
        <v>0</v>
      </c>
      <c r="AG79" s="5">
        <f t="shared" si="39"/>
        <v>0</v>
      </c>
      <c r="AH79" s="5">
        <f t="shared" si="12"/>
        <v>0</v>
      </c>
      <c r="AI79" s="82">
        <f>IF(Listas!$H$21=Listas!$I$17,1,IF(U79&lt;=$C$21,ROUND((EOMONTH(S79,0)-EOMONTH(S78,0))/30,0),0))</f>
        <v>0</v>
      </c>
      <c r="AL79" s="77">
        <f t="shared" si="37"/>
        <v>0</v>
      </c>
      <c r="AP79" s="6">
        <f t="shared" si="40"/>
        <v>0</v>
      </c>
      <c r="AQ79" s="5">
        <f t="shared" si="41"/>
        <v>0</v>
      </c>
    </row>
    <row r="80" spans="1:49">
      <c r="A80" s="77" t="str">
        <f>IF(IFERROR(VLOOKUP(C80,Listas!AT:AV,3,FALSE),0)=1,IF(WEEKDAY(C80+1)=7,C80+2,C80+1),C80)</f>
        <v/>
      </c>
      <c r="B80" s="5">
        <v>39</v>
      </c>
      <c r="C80" s="80" t="str">
        <f>IF(B80&gt;$C$21,"",IF(Listas!$I$21=Listas!$I$17,IF(WEEKDAY(C79+$D$13)=1,C79+$D$13+1,C79+$D$13),IF(B80&lt;=$C$21,IF((DATE(YEAR(C79),MONTH(C79)+1,DAY($C$14))-C79)&gt;=27,IF(WEEKDAY(DATE(YEAR(C79),MONTH(C79)+1,DAY($C$14)))=1,DATE(YEAR(C79),MONTH(C79)+1,DAY($C$14)+1),DATE(YEAR(C79),MONTH(C79)+1,DAY($C$14))),DATE(YEAR(C79),MONTH(C79)+2,DAY($C$14))),"")))</f>
        <v/>
      </c>
      <c r="D80" s="6" t="str">
        <f t="shared" si="15"/>
        <v/>
      </c>
      <c r="E80" s="4" t="str">
        <f t="shared" si="3"/>
        <v/>
      </c>
      <c r="F80" s="4">
        <f>IF($C$23=0,0,IF(OR(Listas!$K$6=Listas!$L$3,Listas!$K$6=Listas!$L$4),0,IF($C$23="",0,IF(Listas!$D$5=Listas!$C$3,ROUND(IF(B80&lt;=$C$21,IF(ROUND((D79/$T$120)*$C$23*Q80,2)&lt;(1/$T$120),ROUND((1/$T$120),2),ROUND((D79/$T$120)*$C$23,2)*Q80),0),2),IF(Listas!$D$5=Listas!$C$2,ROUND(IF(B80&lt;=$C$21,IF(ROUND(D79*$C$23*Q80,2)&lt;1,1,ROUND(D79*$C$23,2)*Q80),0),2))))))</f>
        <v>0</v>
      </c>
      <c r="G80" s="6" t="str">
        <f t="shared" si="25"/>
        <v/>
      </c>
      <c r="H80" s="6"/>
      <c r="I80" s="6">
        <f t="shared" si="26"/>
        <v>0</v>
      </c>
      <c r="J80" s="5">
        <f t="shared" si="4"/>
        <v>0</v>
      </c>
      <c r="K80" s="126">
        <f t="shared" si="18"/>
        <v>0</v>
      </c>
      <c r="L80" s="5">
        <f t="shared" si="5"/>
        <v>0</v>
      </c>
      <c r="M80" s="5">
        <f t="shared" si="30"/>
        <v>0</v>
      </c>
      <c r="N80" s="5">
        <f t="shared" si="20"/>
        <v>0</v>
      </c>
      <c r="O80" s="81">
        <f t="shared" si="27"/>
        <v>0</v>
      </c>
      <c r="P80" s="81">
        <f t="shared" si="22"/>
        <v>0</v>
      </c>
      <c r="Q80" s="82">
        <f>IF(Listas!$H$21=Listas!$I$15,1,IF(B80&lt;=$C$21,ROUND((EOMONTH(A80,0)-EOMONTH(A79,0))/30,0),0))</f>
        <v>0</v>
      </c>
      <c r="R80" s="138"/>
      <c r="S80" s="179" t="str">
        <f t="shared" si="34"/>
        <v/>
      </c>
      <c r="T80" s="179"/>
      <c r="U80" s="140" t="str">
        <f t="shared" si="35"/>
        <v/>
      </c>
      <c r="V80" s="141" t="str">
        <f t="shared" si="36"/>
        <v/>
      </c>
      <c r="W80" s="141" t="str">
        <f>IF(U79="","",IF(U80="",SUM($W$42:W79),IF(U80=$C$21,V79,Z80-X80-Y80)))</f>
        <v/>
      </c>
      <c r="X80" s="142" t="str">
        <f>IF(U79="","",IF(U80="",SUM($X$42:X79),ROUND(((1+$C$24)^(AG80/30)-1)*V79,2)))</f>
        <v/>
      </c>
      <c r="Y80" s="142">
        <f>IF($C$23=0,0,IF(OR(Listas!$K$6=Listas!$L$3,Listas!$K$6=Listas!$L$4),0,IF($C$23="",0,IF(Listas!$D$5=Listas!$C$3,ROUND(IF(U80&lt;=$C$21,IF(ROUND((V79/$T$120)*$C$23*AI80,2)&lt;(1/$T$120),ROUND((1/$T$120),2),ROUND((V79/$T$120)*$C$23,2)*AI80),0),2),IF(Listas!$D$5=Listas!$C$2,ROUND(IF(U80&lt;=$C$21,IF(ROUND(V79*$C$23*AI80,2)&lt;1,1,ROUND(V79*$C$23,2)*AI80),0),2))))))</f>
        <v>0</v>
      </c>
      <c r="Z80" s="141" t="str">
        <f>IF(U79="","",IF(U80="",SUM($Z$42:Z79),IF(U80=$C$21,SUM(W80,X80,Y80,AQ80),IF(U80&lt;$C$21,$C$34,0))))</f>
        <v/>
      </c>
      <c r="AA80" s="141" t="str">
        <f>IF(U79="","",IF(U80="",SUM($AA$42:AA79),IF(U80&lt;=$C$21,$C$17,0)))</f>
        <v/>
      </c>
      <c r="AB80" s="141">
        <f t="shared" si="38"/>
        <v>0</v>
      </c>
      <c r="AC80" s="109"/>
      <c r="AD80" s="139" t="str">
        <f t="shared" si="32"/>
        <v/>
      </c>
      <c r="AE80" s="40">
        <f t="shared" si="33"/>
        <v>0</v>
      </c>
      <c r="AG80" s="5">
        <f t="shared" si="39"/>
        <v>0</v>
      </c>
      <c r="AH80" s="5">
        <f t="shared" si="12"/>
        <v>0</v>
      </c>
      <c r="AI80" s="82">
        <f>IF(Listas!$H$21=Listas!$I$17,1,IF(U80&lt;=$C$21,ROUND((EOMONTH(S80,0)-EOMONTH(S79,0))/30,0),0))</f>
        <v>0</v>
      </c>
      <c r="AL80" s="77">
        <f t="shared" si="37"/>
        <v>0</v>
      </c>
      <c r="AP80" s="6">
        <f t="shared" si="40"/>
        <v>0</v>
      </c>
      <c r="AQ80" s="5">
        <f t="shared" si="41"/>
        <v>0</v>
      </c>
    </row>
    <row r="81" spans="1:43">
      <c r="A81" s="77" t="str">
        <f>IF(IFERROR(VLOOKUP(C81,Listas!AT:AV,3,FALSE),0)=1,IF(WEEKDAY(C81+1)=7,C81+2,C81+1),C81)</f>
        <v/>
      </c>
      <c r="B81" s="5">
        <v>40</v>
      </c>
      <c r="C81" s="80" t="str">
        <f>IF(B81&gt;$C$21,"",IF(Listas!$I$21=Listas!$I$17,IF(WEEKDAY(C80+$D$13)=1,C80+$D$13+1,C80+$D$13),IF(B81&lt;=$C$21,IF((DATE(YEAR(C80),MONTH(C80)+1,DAY($C$14))-C80)&gt;=27,IF(WEEKDAY(DATE(YEAR(C80),MONTH(C80)+1,DAY($C$14)))=1,DATE(YEAR(C80),MONTH(C80)+1,DAY($C$14)+1),DATE(YEAR(C80),MONTH(C80)+1,DAY($C$14))),DATE(YEAR(C80),MONTH(C80)+2,DAY($C$14))),"")))</f>
        <v/>
      </c>
      <c r="D81" s="6" t="str">
        <f t="shared" si="15"/>
        <v/>
      </c>
      <c r="E81" s="4" t="str">
        <f t="shared" si="3"/>
        <v/>
      </c>
      <c r="F81" s="4">
        <f>IF($C$23=0,0,IF(OR(Listas!$K$6=Listas!$L$3,Listas!$K$6=Listas!$L$4),0,IF($C$23="",0,IF(Listas!$D$5=Listas!$C$3,ROUND(IF(B81&lt;=$C$21,IF(ROUND((D80/$T$120)*$C$23*Q81,2)&lt;(1/$T$120),ROUND((1/$T$120),2),ROUND((D80/$T$120)*$C$23,2)*Q81),0),2),IF(Listas!$D$5=Listas!$C$2,ROUND(IF(B81&lt;=$C$21,IF(ROUND(D80*$C$23*Q81,2)&lt;1,1,ROUND(D80*$C$23,2)*Q81),0),2))))))</f>
        <v>0</v>
      </c>
      <c r="G81" s="6" t="str">
        <f t="shared" si="25"/>
        <v/>
      </c>
      <c r="H81" s="6"/>
      <c r="I81" s="6">
        <f t="shared" si="26"/>
        <v>0</v>
      </c>
      <c r="J81" s="5">
        <f t="shared" si="4"/>
        <v>0</v>
      </c>
      <c r="K81" s="126">
        <f t="shared" si="18"/>
        <v>0</v>
      </c>
      <c r="L81" s="5">
        <f t="shared" si="5"/>
        <v>0</v>
      </c>
      <c r="M81" s="5">
        <f t="shared" si="30"/>
        <v>0</v>
      </c>
      <c r="N81" s="5">
        <f t="shared" si="20"/>
        <v>0</v>
      </c>
      <c r="O81" s="81">
        <f t="shared" si="27"/>
        <v>0</v>
      </c>
      <c r="P81" s="81">
        <f t="shared" si="22"/>
        <v>0</v>
      </c>
      <c r="Q81" s="82">
        <f>IF(Listas!$H$21=Listas!$I$15,1,IF(B81&lt;=$C$21,ROUND((EOMONTH(A81,0)-EOMONTH(A80,0))/30,0),0))</f>
        <v>0</v>
      </c>
      <c r="R81" s="138"/>
      <c r="S81" s="179" t="str">
        <f t="shared" si="34"/>
        <v/>
      </c>
      <c r="T81" s="179"/>
      <c r="U81" s="140" t="str">
        <f t="shared" si="35"/>
        <v/>
      </c>
      <c r="V81" s="141" t="str">
        <f t="shared" si="36"/>
        <v/>
      </c>
      <c r="W81" s="141" t="str">
        <f>IF(U80="","",IF(U81="",SUM($W$42:W80),IF(U81=$C$21,V80,Z81-X81-Y81)))</f>
        <v/>
      </c>
      <c r="X81" s="142" t="str">
        <f>IF(U80="","",IF(U81="",SUM($X$42:X80),ROUND(((1+$C$24)^(AG81/30)-1)*V80,2)))</f>
        <v/>
      </c>
      <c r="Y81" s="142">
        <f>IF($C$23=0,0,IF(OR(Listas!$K$6=Listas!$L$3,Listas!$K$6=Listas!$L$4),0,IF($C$23="",0,IF(Listas!$D$5=Listas!$C$3,ROUND(IF(U81&lt;=$C$21,IF(ROUND((V80/$T$120)*$C$23*AI81,2)&lt;(1/$T$120),ROUND((1/$T$120),2),ROUND((V80/$T$120)*$C$23,2)*AI81),0),2),IF(Listas!$D$5=Listas!$C$2,ROUND(IF(U81&lt;=$C$21,IF(ROUND(V80*$C$23*AI81,2)&lt;1,1,ROUND(V80*$C$23,2)*AI81),0),2))))))</f>
        <v>0</v>
      </c>
      <c r="Z81" s="141" t="str">
        <f>IF(U80="","",IF(U81="",SUM($Z$42:Z80),IF(U81=$C$21,SUM(W81,X81,Y81,AQ81),IF(U81&lt;$C$21,$C$34,0))))</f>
        <v/>
      </c>
      <c r="AA81" s="141" t="str">
        <f>IF(U80="","",IF(U81="",SUM($AA$42:AA80),IF(U81&lt;=$C$21,$C$17,0)))</f>
        <v/>
      </c>
      <c r="AB81" s="141">
        <f t="shared" si="38"/>
        <v>0</v>
      </c>
      <c r="AC81" s="109"/>
      <c r="AD81" s="139" t="str">
        <f t="shared" si="32"/>
        <v/>
      </c>
      <c r="AE81" s="40">
        <f t="shared" si="33"/>
        <v>0</v>
      </c>
      <c r="AG81" s="5">
        <f t="shared" si="39"/>
        <v>0</v>
      </c>
      <c r="AH81" s="5">
        <f t="shared" si="12"/>
        <v>0</v>
      </c>
      <c r="AI81" s="82">
        <f>IF(Listas!$H$21=Listas!$I$17,1,IF(U81&lt;=$C$21,ROUND((EOMONTH(S81,0)-EOMONTH(S80,0))/30,0),0))</f>
        <v>0</v>
      </c>
      <c r="AL81" s="77">
        <f t="shared" si="37"/>
        <v>0</v>
      </c>
      <c r="AP81" s="6">
        <f t="shared" si="40"/>
        <v>0</v>
      </c>
      <c r="AQ81" s="5">
        <f t="shared" si="41"/>
        <v>0</v>
      </c>
    </row>
    <row r="82" spans="1:43">
      <c r="A82" s="77" t="str">
        <f>IF(IFERROR(VLOOKUP(C82,Listas!AT:AV,3,FALSE),0)=1,IF(WEEKDAY(C82+1)=7,C82+2,C82+1),C82)</f>
        <v/>
      </c>
      <c r="B82" s="5">
        <v>41</v>
      </c>
      <c r="C82" s="80" t="str">
        <f>IF(B82&gt;$C$21,"",IF(Listas!$I$21=Listas!$I$17,IF(WEEKDAY(C81+$D$13)=1,C81+$D$13+1,C81+$D$13),IF(B82&lt;=$C$21,IF((DATE(YEAR(C81),MONTH(C81)+1,DAY($C$14))-C81)&gt;=27,IF(WEEKDAY(DATE(YEAR(C81),MONTH(C81)+1,DAY($C$14)))=1,DATE(YEAR(C81),MONTH(C81)+1,DAY($C$14)+1),DATE(YEAR(C81),MONTH(C81)+1,DAY($C$14))),DATE(YEAR(C81),MONTH(C81)+2,DAY($C$14))),"")))</f>
        <v/>
      </c>
      <c r="D82" s="6" t="str">
        <f t="shared" si="15"/>
        <v/>
      </c>
      <c r="E82" s="4" t="str">
        <f t="shared" si="3"/>
        <v/>
      </c>
      <c r="F82" s="4">
        <f>IF($C$23=0,0,IF(OR(Listas!$K$6=Listas!$L$3,Listas!$K$6=Listas!$L$4),0,IF($C$23="",0,IF(Listas!$D$5=Listas!$C$3,ROUND(IF(B82&lt;=$C$21,IF(ROUND((D81/$T$120)*$C$23*Q82,2)&lt;(1/$T$120),ROUND((1/$T$120),2),ROUND((D81/$T$120)*$C$23,2)*Q82),0),2),IF(Listas!$D$5=Listas!$C$2,ROUND(IF(B82&lt;=$C$21,IF(ROUND(D81*$C$23*Q82,2)&lt;1,1,ROUND(D81*$C$23,2)*Q82),0),2))))))</f>
        <v>0</v>
      </c>
      <c r="G82" s="6" t="str">
        <f t="shared" si="25"/>
        <v/>
      </c>
      <c r="H82" s="6"/>
      <c r="I82" s="6">
        <f t="shared" si="26"/>
        <v>0</v>
      </c>
      <c r="J82" s="5">
        <f t="shared" si="4"/>
        <v>0</v>
      </c>
      <c r="K82" s="126">
        <f t="shared" si="18"/>
        <v>0</v>
      </c>
      <c r="L82" s="5">
        <f t="shared" si="5"/>
        <v>0</v>
      </c>
      <c r="M82" s="5">
        <f t="shared" si="30"/>
        <v>0</v>
      </c>
      <c r="N82" s="5">
        <f t="shared" si="20"/>
        <v>0</v>
      </c>
      <c r="O82" s="81">
        <f t="shared" si="27"/>
        <v>0</v>
      </c>
      <c r="P82" s="81">
        <f t="shared" si="22"/>
        <v>0</v>
      </c>
      <c r="Q82" s="82">
        <f>IF(Listas!$H$21=Listas!$I$15,1,IF(B82&lt;=$C$21,ROUND((EOMONTH(A82,0)-EOMONTH(A81,0))/30,0),0))</f>
        <v>0</v>
      </c>
      <c r="R82" s="138"/>
      <c r="S82" s="179" t="str">
        <f t="shared" si="34"/>
        <v/>
      </c>
      <c r="T82" s="179"/>
      <c r="U82" s="140" t="str">
        <f t="shared" si="35"/>
        <v/>
      </c>
      <c r="V82" s="141" t="str">
        <f t="shared" si="36"/>
        <v/>
      </c>
      <c r="W82" s="141" t="str">
        <f>IF(U81="","",IF(U82="",SUM($W$42:W81),IF(U82=$C$21,V81,Z82-X82-Y82)))</f>
        <v/>
      </c>
      <c r="X82" s="142" t="str">
        <f>IF(U81="","",IF(U82="",SUM($X$42:X81),ROUND(((1+$C$24)^(AG82/30)-1)*V81,2)))</f>
        <v/>
      </c>
      <c r="Y82" s="142">
        <f>IF($C$23=0,0,IF(OR(Listas!$K$6=Listas!$L$3,Listas!$K$6=Listas!$L$4),0,IF($C$23="",0,IF(Listas!$D$5=Listas!$C$3,ROUND(IF(U82&lt;=$C$21,IF(ROUND((V81/$T$120)*$C$23*AI82,2)&lt;(1/$T$120),ROUND((1/$T$120),2),ROUND((V81/$T$120)*$C$23,2)*AI82),0),2),IF(Listas!$D$5=Listas!$C$2,ROUND(IF(U82&lt;=$C$21,IF(ROUND(V81*$C$23*AI82,2)&lt;1,1,ROUND(V81*$C$23,2)*AI82),0),2))))))</f>
        <v>0</v>
      </c>
      <c r="Z82" s="141" t="str">
        <f>IF(U81="","",IF(U82="",SUM($Z$42:Z81),IF(U82=$C$21,SUM(W82,X82,Y82,AQ82),IF(U82&lt;$C$21,$C$34,0))))</f>
        <v/>
      </c>
      <c r="AA82" s="141" t="str">
        <f>IF(U81="","",IF(U82="",SUM($AA$42:AA81),IF(U82&lt;=$C$21,$C$17,0)))</f>
        <v/>
      </c>
      <c r="AB82" s="141">
        <f t="shared" si="38"/>
        <v>0</v>
      </c>
      <c r="AC82" s="109"/>
      <c r="AD82" s="139" t="str">
        <f t="shared" si="32"/>
        <v/>
      </c>
      <c r="AE82" s="40">
        <f t="shared" si="33"/>
        <v>0</v>
      </c>
      <c r="AG82" s="5">
        <f t="shared" si="39"/>
        <v>0</v>
      </c>
      <c r="AH82" s="5">
        <f t="shared" si="12"/>
        <v>0</v>
      </c>
      <c r="AI82" s="82">
        <f>IF(Listas!$H$21=Listas!$I$17,1,IF(U82&lt;=$C$21,ROUND((EOMONTH(S82,0)-EOMONTH(S81,0))/30,0),0))</f>
        <v>0</v>
      </c>
      <c r="AL82" s="77">
        <f t="shared" si="37"/>
        <v>0</v>
      </c>
      <c r="AP82" s="6">
        <f t="shared" si="40"/>
        <v>0</v>
      </c>
      <c r="AQ82" s="5">
        <f t="shared" si="41"/>
        <v>0</v>
      </c>
    </row>
    <row r="83" spans="1:43">
      <c r="A83" s="77" t="str">
        <f>IF(IFERROR(VLOOKUP(C83,Listas!AT:AV,3,FALSE),0)=1,IF(WEEKDAY(C83+1)=7,C83+2,C83+1),C83)</f>
        <v/>
      </c>
      <c r="B83" s="5">
        <v>42</v>
      </c>
      <c r="C83" s="80" t="str">
        <f>IF(B83&gt;$C$21,"",IF(Listas!$I$21=Listas!$I$17,IF(WEEKDAY(C82+$D$13)=1,C82+$D$13+1,C82+$D$13),IF(B83&lt;=$C$21,IF((DATE(YEAR(C82),MONTH(C82)+1,DAY($C$14))-C82)&gt;=27,IF(WEEKDAY(DATE(YEAR(C82),MONTH(C82)+1,DAY($C$14)))=1,DATE(YEAR(C82),MONTH(C82)+1,DAY($C$14)+1),DATE(YEAR(C82),MONTH(C82)+1,DAY($C$14))),DATE(YEAR(C82),MONTH(C82)+2,DAY($C$14))),"")))</f>
        <v/>
      </c>
      <c r="D83" s="6" t="str">
        <f t="shared" si="15"/>
        <v/>
      </c>
      <c r="E83" s="4" t="str">
        <f t="shared" si="3"/>
        <v/>
      </c>
      <c r="F83" s="4">
        <f>IF($C$23=0,0,IF(OR(Listas!$K$6=Listas!$L$3,Listas!$K$6=Listas!$L$4),0,IF($C$23="",0,IF(Listas!$D$5=Listas!$C$3,ROUND(IF(B83&lt;=$C$21,IF(ROUND((D82/$T$120)*$C$23*Q83,2)&lt;(1/$T$120),ROUND((1/$T$120),2),ROUND((D82/$T$120)*$C$23,2)*Q83),0),2),IF(Listas!$D$5=Listas!$C$2,ROUND(IF(B83&lt;=$C$21,IF(ROUND(D82*$C$23*Q83,2)&lt;1,1,ROUND(D82*$C$23,2)*Q83),0),2))))))</f>
        <v>0</v>
      </c>
      <c r="G83" s="6" t="str">
        <f t="shared" si="25"/>
        <v/>
      </c>
      <c r="H83" s="6"/>
      <c r="I83" s="6">
        <f t="shared" si="26"/>
        <v>0</v>
      </c>
      <c r="J83" s="5">
        <f t="shared" si="4"/>
        <v>0</v>
      </c>
      <c r="K83" s="126">
        <f t="shared" si="18"/>
        <v>0</v>
      </c>
      <c r="L83" s="5">
        <f t="shared" si="5"/>
        <v>0</v>
      </c>
      <c r="M83" s="5">
        <f t="shared" si="30"/>
        <v>0</v>
      </c>
      <c r="N83" s="5">
        <f t="shared" si="20"/>
        <v>0</v>
      </c>
      <c r="O83" s="81">
        <f t="shared" si="27"/>
        <v>0</v>
      </c>
      <c r="P83" s="81">
        <f t="shared" si="22"/>
        <v>0</v>
      </c>
      <c r="Q83" s="82">
        <f>IF(Listas!$H$21=Listas!$I$15,1,IF(B83&lt;=$C$21,ROUND((EOMONTH(A83,0)-EOMONTH(A82,0))/30,0),0))</f>
        <v>0</v>
      </c>
      <c r="R83" s="138"/>
      <c r="S83" s="179" t="str">
        <f t="shared" si="34"/>
        <v/>
      </c>
      <c r="T83" s="179"/>
      <c r="U83" s="140" t="str">
        <f t="shared" si="35"/>
        <v/>
      </c>
      <c r="V83" s="141" t="str">
        <f t="shared" si="36"/>
        <v/>
      </c>
      <c r="W83" s="141" t="str">
        <f>IF(U82="","",IF(U83="",SUM($W$42:W82),IF(U83=$C$21,V82,Z83-X83-Y83)))</f>
        <v/>
      </c>
      <c r="X83" s="142" t="str">
        <f>IF(U82="","",IF(U83="",SUM($X$42:X82),ROUND(((1+$C$24)^(AG83/30)-1)*V82,2)))</f>
        <v/>
      </c>
      <c r="Y83" s="142">
        <f>IF($C$23=0,0,IF(OR(Listas!$K$6=Listas!$L$3,Listas!$K$6=Listas!$L$4),0,IF($C$23="",0,IF(Listas!$D$5=Listas!$C$3,ROUND(IF(U83&lt;=$C$21,IF(ROUND((V82/$T$120)*$C$23*AI83,2)&lt;(1/$T$120),ROUND((1/$T$120),2),ROUND((V82/$T$120)*$C$23,2)*AI83),0),2),IF(Listas!$D$5=Listas!$C$2,ROUND(IF(U83&lt;=$C$21,IF(ROUND(V82*$C$23*AI83,2)&lt;1,1,ROUND(V82*$C$23,2)*AI83),0),2))))))</f>
        <v>0</v>
      </c>
      <c r="Z83" s="141" t="str">
        <f>IF(U82="","",IF(U83="",SUM($Z$42:Z82),IF(U83=$C$21,SUM(W83,X83,Y83,AQ83),IF(U83&lt;$C$21,$C$34,0))))</f>
        <v/>
      </c>
      <c r="AA83" s="141" t="str">
        <f>IF(U82="","",IF(U83="",SUM($AA$42:AA82),IF(U83&lt;=$C$21,$C$17,0)))</f>
        <v/>
      </c>
      <c r="AB83" s="141">
        <f t="shared" si="38"/>
        <v>0</v>
      </c>
      <c r="AC83" s="109"/>
      <c r="AD83" s="139" t="str">
        <f t="shared" si="32"/>
        <v/>
      </c>
      <c r="AE83" s="40">
        <f t="shared" si="33"/>
        <v>0</v>
      </c>
      <c r="AG83" s="5">
        <f t="shared" si="39"/>
        <v>0</v>
      </c>
      <c r="AH83" s="5">
        <f t="shared" si="12"/>
        <v>0</v>
      </c>
      <c r="AI83" s="82">
        <f>IF(Listas!$H$21=Listas!$I$17,1,IF(U83&lt;=$C$21,ROUND((EOMONTH(S83,0)-EOMONTH(S82,0))/30,0),0))</f>
        <v>0</v>
      </c>
      <c r="AL83" s="77">
        <f t="shared" si="37"/>
        <v>0</v>
      </c>
      <c r="AP83" s="6">
        <f t="shared" si="40"/>
        <v>0</v>
      </c>
      <c r="AQ83" s="5">
        <f t="shared" si="41"/>
        <v>0</v>
      </c>
    </row>
    <row r="84" spans="1:43">
      <c r="A84" s="77" t="str">
        <f>IF(IFERROR(VLOOKUP(C84,Listas!AT:AV,3,FALSE),0)=1,IF(WEEKDAY(C84+1)=7,C84+2,C84+1),C84)</f>
        <v/>
      </c>
      <c r="B84" s="5">
        <v>43</v>
      </c>
      <c r="C84" s="80" t="str">
        <f>IF(B84&gt;$C$21,"",IF(Listas!$I$21=Listas!$I$17,IF(WEEKDAY(C83+$D$13)=1,C83+$D$13+1,C83+$D$13),IF(B84&lt;=$C$21,IF((DATE(YEAR(C83),MONTH(C83)+1,DAY($C$14))-C83)&gt;=27,IF(WEEKDAY(DATE(YEAR(C83),MONTH(C83)+1,DAY($C$14)))=1,DATE(YEAR(C83),MONTH(C83)+1,DAY($C$14)+1),DATE(YEAR(C83),MONTH(C83)+1,DAY($C$14))),DATE(YEAR(C83),MONTH(C83)+2,DAY($C$14))),"")))</f>
        <v/>
      </c>
      <c r="D84" s="6" t="str">
        <f t="shared" si="15"/>
        <v/>
      </c>
      <c r="E84" s="4" t="str">
        <f t="shared" si="3"/>
        <v/>
      </c>
      <c r="F84" s="4">
        <f>IF($C$23=0,0,IF(OR(Listas!$K$6=Listas!$L$3,Listas!$K$6=Listas!$L$4),0,IF($C$23="",0,IF(Listas!$D$5=Listas!$C$3,ROUND(IF(B84&lt;=$C$21,IF(ROUND((D83/$T$120)*$C$23*Q84,2)&lt;(1/$T$120),ROUND((1/$T$120),2),ROUND((D83/$T$120)*$C$23,2)*Q84),0),2),IF(Listas!$D$5=Listas!$C$2,ROUND(IF(B84&lt;=$C$21,IF(ROUND(D83*$C$23*Q84,2)&lt;1,1,ROUND(D83*$C$23,2)*Q84),0),2))))))</f>
        <v>0</v>
      </c>
      <c r="G84" s="6" t="str">
        <f t="shared" si="25"/>
        <v/>
      </c>
      <c r="H84" s="6"/>
      <c r="I84" s="6">
        <f t="shared" si="26"/>
        <v>0</v>
      </c>
      <c r="J84" s="5">
        <f t="shared" si="4"/>
        <v>0</v>
      </c>
      <c r="K84" s="126">
        <f t="shared" si="18"/>
        <v>0</v>
      </c>
      <c r="L84" s="5">
        <f t="shared" si="5"/>
        <v>0</v>
      </c>
      <c r="M84" s="5">
        <f t="shared" si="30"/>
        <v>0</v>
      </c>
      <c r="N84" s="5">
        <f t="shared" si="20"/>
        <v>0</v>
      </c>
      <c r="O84" s="81">
        <f t="shared" si="27"/>
        <v>0</v>
      </c>
      <c r="P84" s="81">
        <f t="shared" si="22"/>
        <v>0</v>
      </c>
      <c r="Q84" s="82">
        <f>IF(Listas!$H$21=Listas!$I$15,1,IF(B84&lt;=$C$21,ROUND((EOMONTH(A84,0)-EOMONTH(A83,0))/30,0),0))</f>
        <v>0</v>
      </c>
      <c r="R84" s="138"/>
      <c r="S84" s="179" t="str">
        <f t="shared" si="34"/>
        <v/>
      </c>
      <c r="T84" s="179"/>
      <c r="U84" s="140" t="str">
        <f t="shared" si="35"/>
        <v/>
      </c>
      <c r="V84" s="141" t="str">
        <f t="shared" si="36"/>
        <v/>
      </c>
      <c r="W84" s="141" t="str">
        <f>IF(U83="","",IF(U84="",SUM($W$42:W83),IF(U84=$C$21,V83,Z84-X84-Y84)))</f>
        <v/>
      </c>
      <c r="X84" s="142" t="str">
        <f>IF(U83="","",IF(U84="",SUM($X$42:X83),ROUND(((1+$C$24)^(AG84/30)-1)*V83,2)))</f>
        <v/>
      </c>
      <c r="Y84" s="142">
        <f>IF($C$23=0,0,IF(OR(Listas!$K$6=Listas!$L$3,Listas!$K$6=Listas!$L$4),0,IF($C$23="",0,IF(Listas!$D$5=Listas!$C$3,ROUND(IF(U84&lt;=$C$21,IF(ROUND((V83/$T$120)*$C$23*AI84,2)&lt;(1/$T$120),ROUND((1/$T$120),2),ROUND((V83/$T$120)*$C$23,2)*AI84),0),2),IF(Listas!$D$5=Listas!$C$2,ROUND(IF(U84&lt;=$C$21,IF(ROUND(V83*$C$23*AI84,2)&lt;1,1,ROUND(V83*$C$23,2)*AI84),0),2))))))</f>
        <v>0</v>
      </c>
      <c r="Z84" s="141" t="str">
        <f>IF(U83="","",IF(U84="",SUM($Z$42:Z83),IF(U84=$C$21,SUM(W84,X84,Y84,AQ84),IF(U84&lt;$C$21,$C$34,0))))</f>
        <v/>
      </c>
      <c r="AA84" s="141" t="str">
        <f>IF(U83="","",IF(U84="",SUM($AA$42:AA83),IF(U84&lt;=$C$21,$C$17,0)))</f>
        <v/>
      </c>
      <c r="AB84" s="141">
        <f t="shared" si="38"/>
        <v>0</v>
      </c>
      <c r="AC84" s="109"/>
      <c r="AD84" s="139" t="str">
        <f t="shared" si="32"/>
        <v/>
      </c>
      <c r="AE84" s="40">
        <f t="shared" si="33"/>
        <v>0</v>
      </c>
      <c r="AG84" s="5">
        <f t="shared" si="39"/>
        <v>0</v>
      </c>
      <c r="AH84" s="5">
        <f t="shared" si="12"/>
        <v>0</v>
      </c>
      <c r="AI84" s="82">
        <f>IF(Listas!$H$21=Listas!$I$17,1,IF(U84&lt;=$C$21,ROUND((EOMONTH(S84,0)-EOMONTH(S83,0))/30,0),0))</f>
        <v>0</v>
      </c>
      <c r="AL84" s="77">
        <f t="shared" si="37"/>
        <v>0</v>
      </c>
      <c r="AP84" s="6">
        <f t="shared" si="40"/>
        <v>0</v>
      </c>
      <c r="AQ84" s="5">
        <f t="shared" si="41"/>
        <v>0</v>
      </c>
    </row>
    <row r="85" spans="1:43">
      <c r="A85" s="77" t="str">
        <f>IF(IFERROR(VLOOKUP(C85,Listas!AT:AV,3,FALSE),0)=1,IF(WEEKDAY(C85+1)=7,C85+2,C85+1),C85)</f>
        <v/>
      </c>
      <c r="B85" s="5">
        <v>44</v>
      </c>
      <c r="C85" s="80" t="str">
        <f>IF(B85&gt;$C$21,"",IF(Listas!$I$21=Listas!$I$17,IF(WEEKDAY(C84+$D$13)=1,C84+$D$13+1,C84+$D$13),IF(B85&lt;=$C$21,IF((DATE(YEAR(C84),MONTH(C84)+1,DAY($C$14))-C84)&gt;=27,IF(WEEKDAY(DATE(YEAR(C84),MONTH(C84)+1,DAY($C$14)))=1,DATE(YEAR(C84),MONTH(C84)+1,DAY($C$14)+1),DATE(YEAR(C84),MONTH(C84)+1,DAY($C$14))),DATE(YEAR(C84),MONTH(C84)+2,DAY($C$14))),"")))</f>
        <v/>
      </c>
      <c r="D85" s="6" t="str">
        <f t="shared" si="15"/>
        <v/>
      </c>
      <c r="E85" s="4" t="str">
        <f t="shared" si="3"/>
        <v/>
      </c>
      <c r="F85" s="4">
        <f>IF($C$23=0,0,IF(OR(Listas!$K$6=Listas!$L$3,Listas!$K$6=Listas!$L$4),0,IF($C$23="",0,IF(Listas!$D$5=Listas!$C$3,ROUND(IF(B85&lt;=$C$21,IF(ROUND((D84/$T$120)*$C$23*Q85,2)&lt;(1/$T$120),ROUND((1/$T$120),2),ROUND((D84/$T$120)*$C$23,2)*Q85),0),2),IF(Listas!$D$5=Listas!$C$2,ROUND(IF(B85&lt;=$C$21,IF(ROUND(D84*$C$23*Q85,2)&lt;1,1,ROUND(D84*$C$23,2)*Q85),0),2))))))</f>
        <v>0</v>
      </c>
      <c r="G85" s="6" t="str">
        <f t="shared" si="25"/>
        <v/>
      </c>
      <c r="H85" s="6"/>
      <c r="I85" s="6">
        <f t="shared" si="26"/>
        <v>0</v>
      </c>
      <c r="J85" s="5">
        <f t="shared" si="4"/>
        <v>0</v>
      </c>
      <c r="K85" s="126">
        <f t="shared" si="18"/>
        <v>0</v>
      </c>
      <c r="L85" s="5">
        <f t="shared" si="5"/>
        <v>0</v>
      </c>
      <c r="M85" s="5">
        <f t="shared" si="30"/>
        <v>0</v>
      </c>
      <c r="N85" s="5">
        <f t="shared" si="20"/>
        <v>0</v>
      </c>
      <c r="O85" s="81">
        <f t="shared" si="27"/>
        <v>0</v>
      </c>
      <c r="P85" s="81">
        <f t="shared" si="22"/>
        <v>0</v>
      </c>
      <c r="Q85" s="82">
        <f>IF(Listas!$H$21=Listas!$I$15,1,IF(B85&lt;=$C$21,ROUND((EOMONTH(A85,0)-EOMONTH(A84,0))/30,0),0))</f>
        <v>0</v>
      </c>
      <c r="R85" s="138"/>
      <c r="S85" s="179" t="str">
        <f t="shared" si="34"/>
        <v/>
      </c>
      <c r="T85" s="179"/>
      <c r="U85" s="140" t="str">
        <f t="shared" si="35"/>
        <v/>
      </c>
      <c r="V85" s="141" t="str">
        <f t="shared" si="36"/>
        <v/>
      </c>
      <c r="W85" s="141" t="str">
        <f>IF(U84="","",IF(U85="",SUM($W$42:W84),IF(U85=$C$21,V84,Z85-X85-Y85)))</f>
        <v/>
      </c>
      <c r="X85" s="142" t="str">
        <f>IF(U84="","",IF(U85="",SUM($X$42:X84),ROUND(((1+$C$24)^(AG85/30)-1)*V84,2)))</f>
        <v/>
      </c>
      <c r="Y85" s="142">
        <f>IF($C$23=0,0,IF(OR(Listas!$K$6=Listas!$L$3,Listas!$K$6=Listas!$L$4),0,IF($C$23="",0,IF(Listas!$D$5=Listas!$C$3,ROUND(IF(U85&lt;=$C$21,IF(ROUND((V84/$T$120)*$C$23*AI85,2)&lt;(1/$T$120),ROUND((1/$T$120),2),ROUND((V84/$T$120)*$C$23,2)*AI85),0),2),IF(Listas!$D$5=Listas!$C$2,ROUND(IF(U85&lt;=$C$21,IF(ROUND(V84*$C$23*AI85,2)&lt;1,1,ROUND(V84*$C$23,2)*AI85),0),2))))))</f>
        <v>0</v>
      </c>
      <c r="Z85" s="141" t="str">
        <f>IF(U84="","",IF(U85="",SUM($Z$42:Z84),IF(U85=$C$21,SUM(W85,X85,Y85,AQ85),IF(U85&lt;$C$21,$C$34,0))))</f>
        <v/>
      </c>
      <c r="AA85" s="141" t="str">
        <f>IF(U84="","",IF(U85="",SUM($AA$42:AA84),IF(U85&lt;=$C$21,$C$17,0)))</f>
        <v/>
      </c>
      <c r="AB85" s="141">
        <f t="shared" si="38"/>
        <v>0</v>
      </c>
      <c r="AC85" s="109"/>
      <c r="AD85" s="139" t="str">
        <f t="shared" ref="AD85:AD114" si="42">S85</f>
        <v/>
      </c>
      <c r="AE85" s="40">
        <f t="shared" ref="AE85:AE114" si="43">IF(S85&lt;&gt;"",1,0)</f>
        <v>0</v>
      </c>
      <c r="AG85" s="5">
        <f t="shared" si="39"/>
        <v>0</v>
      </c>
      <c r="AH85" s="5">
        <f t="shared" si="12"/>
        <v>0</v>
      </c>
      <c r="AI85" s="82">
        <f>IF(Listas!$H$21=Listas!$I$17,1,IF(U85&lt;=$C$21,ROUND((EOMONTH(S85,0)-EOMONTH(S84,0))/30,0),0))</f>
        <v>0</v>
      </c>
      <c r="AL85" s="77">
        <f t="shared" si="37"/>
        <v>0</v>
      </c>
      <c r="AP85" s="6">
        <f t="shared" si="40"/>
        <v>0</v>
      </c>
      <c r="AQ85" s="5">
        <f t="shared" si="41"/>
        <v>0</v>
      </c>
    </row>
    <row r="86" spans="1:43">
      <c r="A86" s="77" t="str">
        <f>IF(IFERROR(VLOOKUP(C86,Listas!AT:AV,3,FALSE),0)=1,IF(WEEKDAY(C86+1)=7,C86+2,C86+1),C86)</f>
        <v/>
      </c>
      <c r="B86" s="5">
        <v>45</v>
      </c>
      <c r="C86" s="80" t="str">
        <f>IF(B86&gt;$C$21,"",IF(Listas!$I$21=Listas!$I$17,IF(WEEKDAY(C85+$D$13)=1,C85+$D$13+1,C85+$D$13),IF(B86&lt;=$C$21,IF((DATE(YEAR(C85),MONTH(C85)+1,DAY($C$14))-C85)&gt;=27,IF(WEEKDAY(DATE(YEAR(C85),MONTH(C85)+1,DAY($C$14)))=1,DATE(YEAR(C85),MONTH(C85)+1,DAY($C$14)+1),DATE(YEAR(C85),MONTH(C85)+1,DAY($C$14))),DATE(YEAR(C85),MONTH(C85)+2,DAY($C$14))),"")))</f>
        <v/>
      </c>
      <c r="D86" s="6" t="str">
        <f t="shared" si="15"/>
        <v/>
      </c>
      <c r="E86" s="4" t="str">
        <f t="shared" si="3"/>
        <v/>
      </c>
      <c r="F86" s="4">
        <f>IF($C$23=0,0,IF(OR(Listas!$K$6=Listas!$L$3,Listas!$K$6=Listas!$L$4),0,IF($C$23="",0,IF(Listas!$D$5=Listas!$C$3,ROUND(IF(B86&lt;=$C$21,IF(ROUND((D85/$T$120)*$C$23*Q86,2)&lt;(1/$T$120),ROUND((1/$T$120),2),ROUND((D85/$T$120)*$C$23,2)*Q86),0),2),IF(Listas!$D$5=Listas!$C$2,ROUND(IF(B86&lt;=$C$21,IF(ROUND(D85*$C$23*Q86,2)&lt;1,1,ROUND(D85*$C$23,2)*Q86),0),2))))))</f>
        <v>0</v>
      </c>
      <c r="G86" s="6" t="str">
        <f t="shared" si="25"/>
        <v/>
      </c>
      <c r="H86" s="6"/>
      <c r="I86" s="6">
        <f t="shared" si="26"/>
        <v>0</v>
      </c>
      <c r="J86" s="5">
        <f t="shared" si="4"/>
        <v>0</v>
      </c>
      <c r="K86" s="126">
        <f t="shared" si="18"/>
        <v>0</v>
      </c>
      <c r="L86" s="5">
        <f t="shared" si="5"/>
        <v>0</v>
      </c>
      <c r="M86" s="5">
        <f t="shared" si="30"/>
        <v>0</v>
      </c>
      <c r="N86" s="5">
        <f t="shared" si="20"/>
        <v>0</v>
      </c>
      <c r="O86" s="81">
        <f t="shared" si="27"/>
        <v>0</v>
      </c>
      <c r="P86" s="81">
        <f t="shared" si="22"/>
        <v>0</v>
      </c>
      <c r="Q86" s="82">
        <f>IF(Listas!$H$21=Listas!$I$15,1,IF(B86&lt;=$C$21,ROUND((EOMONTH(A86,0)-EOMONTH(A85,0))/30,0),0))</f>
        <v>0</v>
      </c>
      <c r="R86" s="138"/>
      <c r="S86" s="179" t="str">
        <f t="shared" si="34"/>
        <v/>
      </c>
      <c r="T86" s="179"/>
      <c r="U86" s="140" t="str">
        <f t="shared" si="35"/>
        <v/>
      </c>
      <c r="V86" s="141" t="str">
        <f t="shared" si="36"/>
        <v/>
      </c>
      <c r="W86" s="141" t="str">
        <f>IF(U85="","",IF(U86="",SUM($W$42:W85),IF(U86=$C$21,V85,Z86-X86-Y86)))</f>
        <v/>
      </c>
      <c r="X86" s="142" t="str">
        <f>IF(U85="","",IF(U86="",SUM($X$42:X85),ROUND(((1+$C$24)^(AG86/30)-1)*V85,2)))</f>
        <v/>
      </c>
      <c r="Y86" s="142">
        <f>IF($C$23=0,0,IF(OR(Listas!$K$6=Listas!$L$3,Listas!$K$6=Listas!$L$4),0,IF($C$23="",0,IF(Listas!$D$5=Listas!$C$3,ROUND(IF(U86&lt;=$C$21,IF(ROUND((V85/$T$120)*$C$23*AI86,2)&lt;(1/$T$120),ROUND((1/$T$120),2),ROUND((V85/$T$120)*$C$23,2)*AI86),0),2),IF(Listas!$D$5=Listas!$C$2,ROUND(IF(U86&lt;=$C$21,IF(ROUND(V85*$C$23*AI86,2)&lt;1,1,ROUND(V85*$C$23,2)*AI86),0),2))))))</f>
        <v>0</v>
      </c>
      <c r="Z86" s="141" t="str">
        <f>IF(U85="","",IF(U86="",SUM($Z$42:Z85),IF(U86=$C$21,SUM(W86,X86,Y86,AQ86),IF(U86&lt;$C$21,$C$34,0))))</f>
        <v/>
      </c>
      <c r="AA86" s="141" t="str">
        <f>IF(U85="","",IF(U86="",SUM($AA$42:AA85),IF(U86&lt;=$C$21,$C$17,0)))</f>
        <v/>
      </c>
      <c r="AB86" s="141">
        <f t="shared" si="38"/>
        <v>0</v>
      </c>
      <c r="AC86" s="109"/>
      <c r="AD86" s="139" t="str">
        <f t="shared" si="42"/>
        <v/>
      </c>
      <c r="AE86" s="40">
        <f t="shared" si="43"/>
        <v>0</v>
      </c>
      <c r="AG86" s="5">
        <f t="shared" si="39"/>
        <v>0</v>
      </c>
      <c r="AH86" s="5">
        <f t="shared" si="12"/>
        <v>0</v>
      </c>
      <c r="AI86" s="82">
        <f>IF(Listas!$H$21=Listas!$I$17,1,IF(U86&lt;=$C$21,ROUND((EOMONTH(S86,0)-EOMONTH(S85,0))/30,0),0))</f>
        <v>0</v>
      </c>
      <c r="AL86" s="77">
        <f t="shared" si="37"/>
        <v>0</v>
      </c>
      <c r="AP86" s="6">
        <f t="shared" si="40"/>
        <v>0</v>
      </c>
      <c r="AQ86" s="5">
        <f t="shared" si="41"/>
        <v>0</v>
      </c>
    </row>
    <row r="87" spans="1:43">
      <c r="A87" s="77" t="str">
        <f>IF(IFERROR(VLOOKUP(C87,Listas!AT:AV,3,FALSE),0)=1,IF(WEEKDAY(C87+1)=7,C87+2,C87+1),C87)</f>
        <v/>
      </c>
      <c r="B87" s="5">
        <v>46</v>
      </c>
      <c r="C87" s="80" t="str">
        <f>IF(B87&gt;$C$21,"",IF(Listas!$I$21=Listas!$I$17,IF(WEEKDAY(C86+$D$13)=1,C86+$D$13+1,C86+$D$13),IF(B87&lt;=$C$21,IF((DATE(YEAR(C86),MONTH(C86)+1,DAY($C$14))-C86)&gt;=27,IF(WEEKDAY(DATE(YEAR(C86),MONTH(C86)+1,DAY($C$14)))=1,DATE(YEAR(C86),MONTH(C86)+1,DAY($C$14)+1),DATE(YEAR(C86),MONTH(C86)+1,DAY($C$14))),DATE(YEAR(C86),MONTH(C86)+2,DAY($C$14))),"")))</f>
        <v/>
      </c>
      <c r="D87" s="6" t="str">
        <f t="shared" si="15"/>
        <v/>
      </c>
      <c r="E87" s="4" t="str">
        <f t="shared" si="3"/>
        <v/>
      </c>
      <c r="F87" s="4">
        <f>IF($C$23=0,0,IF(OR(Listas!$K$6=Listas!$L$3,Listas!$K$6=Listas!$L$4),0,IF($C$23="",0,IF(Listas!$D$5=Listas!$C$3,ROUND(IF(B87&lt;=$C$21,IF(ROUND((D86/$T$120)*$C$23*Q87,2)&lt;(1/$T$120),ROUND((1/$T$120),2),ROUND((D86/$T$120)*$C$23,2)*Q87),0),2),IF(Listas!$D$5=Listas!$C$2,ROUND(IF(B87&lt;=$C$21,IF(ROUND(D86*$C$23*Q87,2)&lt;1,1,ROUND(D86*$C$23,2)*Q87),0),2))))))</f>
        <v>0</v>
      </c>
      <c r="G87" s="6" t="str">
        <f t="shared" si="25"/>
        <v/>
      </c>
      <c r="H87" s="6"/>
      <c r="I87" s="6">
        <f t="shared" si="26"/>
        <v>0</v>
      </c>
      <c r="J87" s="5">
        <f t="shared" si="4"/>
        <v>0</v>
      </c>
      <c r="K87" s="126">
        <f t="shared" si="18"/>
        <v>0</v>
      </c>
      <c r="L87" s="5">
        <f t="shared" si="5"/>
        <v>0</v>
      </c>
      <c r="M87" s="5">
        <f t="shared" si="30"/>
        <v>0</v>
      </c>
      <c r="N87" s="5">
        <f t="shared" si="20"/>
        <v>0</v>
      </c>
      <c r="O87" s="81">
        <f t="shared" si="27"/>
        <v>0</v>
      </c>
      <c r="P87" s="81">
        <f t="shared" si="22"/>
        <v>0</v>
      </c>
      <c r="Q87" s="82">
        <f>IF(Listas!$H$21=Listas!$I$15,1,IF(B87&lt;=$C$21,ROUND((EOMONTH(A87,0)-EOMONTH(A86,0))/30,0),0))</f>
        <v>0</v>
      </c>
      <c r="R87" s="138"/>
      <c r="S87" s="179" t="str">
        <f t="shared" si="34"/>
        <v/>
      </c>
      <c r="T87" s="179"/>
      <c r="U87" s="140" t="str">
        <f t="shared" si="35"/>
        <v/>
      </c>
      <c r="V87" s="141" t="str">
        <f t="shared" si="36"/>
        <v/>
      </c>
      <c r="W87" s="141" t="str">
        <f>IF(U86="","",IF(U87="",SUM($W$42:W86),IF(U87=$C$21,V86,Z87-X87-Y87)))</f>
        <v/>
      </c>
      <c r="X87" s="142" t="str">
        <f>IF(U86="","",IF(U87="",SUM($X$42:X86),ROUND(((1+$C$24)^(AG87/30)-1)*V86,2)))</f>
        <v/>
      </c>
      <c r="Y87" s="142">
        <f>IF($C$23=0,0,IF(OR(Listas!$K$6=Listas!$L$3,Listas!$K$6=Listas!$L$4),0,IF($C$23="",0,IF(Listas!$D$5=Listas!$C$3,ROUND(IF(U87&lt;=$C$21,IF(ROUND((V86/$T$120)*$C$23*AI87,2)&lt;(1/$T$120),ROUND((1/$T$120),2),ROUND((V86/$T$120)*$C$23,2)*AI87),0),2),IF(Listas!$D$5=Listas!$C$2,ROUND(IF(U87&lt;=$C$21,IF(ROUND(V86*$C$23*AI87,2)&lt;1,1,ROUND(V86*$C$23,2)*AI87),0),2))))))</f>
        <v>0</v>
      </c>
      <c r="Z87" s="141" t="str">
        <f>IF(U86="","",IF(U87="",SUM($Z$42:Z86),IF(U87=$C$21,SUM(W87,X87,Y87,AQ87),IF(U87&lt;$C$21,$C$34,0))))</f>
        <v/>
      </c>
      <c r="AA87" s="141" t="str">
        <f>IF(U86="","",IF(U87="",SUM($AA$42:AA86),IF(U87&lt;=$C$21,$C$17,0)))</f>
        <v/>
      </c>
      <c r="AB87" s="141">
        <f t="shared" si="38"/>
        <v>0</v>
      </c>
      <c r="AC87" s="109"/>
      <c r="AD87" s="139" t="str">
        <f t="shared" si="42"/>
        <v/>
      </c>
      <c r="AE87" s="40">
        <f t="shared" si="43"/>
        <v>0</v>
      </c>
      <c r="AG87" s="5">
        <f t="shared" si="39"/>
        <v>0</v>
      </c>
      <c r="AH87" s="5">
        <f t="shared" si="12"/>
        <v>0</v>
      </c>
      <c r="AI87" s="82">
        <f>IF(Listas!$H$21=Listas!$I$17,1,IF(U87&lt;=$C$21,ROUND((EOMONTH(S87,0)-EOMONTH(S86,0))/30,0),0))</f>
        <v>0</v>
      </c>
      <c r="AL87" s="77">
        <f t="shared" si="37"/>
        <v>0</v>
      </c>
      <c r="AP87" s="6">
        <f t="shared" si="40"/>
        <v>0</v>
      </c>
      <c r="AQ87" s="5">
        <f t="shared" si="41"/>
        <v>0</v>
      </c>
    </row>
    <row r="88" spans="1:43">
      <c r="A88" s="77" t="str">
        <f>IF(IFERROR(VLOOKUP(C88,Listas!AT:AV,3,FALSE),0)=1,IF(WEEKDAY(C88+1)=7,C88+2,C88+1),C88)</f>
        <v/>
      </c>
      <c r="B88" s="5">
        <v>47</v>
      </c>
      <c r="C88" s="80" t="str">
        <f>IF(B88&gt;$C$21,"",IF(Listas!$I$21=Listas!$I$17,IF(WEEKDAY(C87+$D$13)=1,C87+$D$13+1,C87+$D$13),IF(B88&lt;=$C$21,IF((DATE(YEAR(C87),MONTH(C87)+1,DAY($C$14))-C87)&gt;=27,IF(WEEKDAY(DATE(YEAR(C87),MONTH(C87)+1,DAY($C$14)))=1,DATE(YEAR(C87),MONTH(C87)+1,DAY($C$14)+1),DATE(YEAR(C87),MONTH(C87)+1,DAY($C$14))),DATE(YEAR(C87),MONTH(C87)+2,DAY($C$14))),"")))</f>
        <v/>
      </c>
      <c r="D88" s="6" t="str">
        <f t="shared" si="15"/>
        <v/>
      </c>
      <c r="E88" s="4" t="str">
        <f t="shared" si="3"/>
        <v/>
      </c>
      <c r="F88" s="4">
        <f>IF($C$23=0,0,IF(OR(Listas!$K$6=Listas!$L$3,Listas!$K$6=Listas!$L$4),0,IF($C$23="",0,IF(Listas!$D$5=Listas!$C$3,ROUND(IF(B88&lt;=$C$21,IF(ROUND((D87/$T$120)*$C$23*Q88,2)&lt;(1/$T$120),ROUND((1/$T$120),2),ROUND((D87/$T$120)*$C$23,2)*Q88),0),2),IF(Listas!$D$5=Listas!$C$2,ROUND(IF(B88&lt;=$C$21,IF(ROUND(D87*$C$23*Q88,2)&lt;1,1,ROUND(D87*$C$23,2)*Q88),0),2))))))</f>
        <v>0</v>
      </c>
      <c r="G88" s="6" t="str">
        <f t="shared" si="25"/>
        <v/>
      </c>
      <c r="H88" s="6"/>
      <c r="I88" s="6">
        <f t="shared" si="26"/>
        <v>0</v>
      </c>
      <c r="J88" s="5">
        <f t="shared" si="4"/>
        <v>0</v>
      </c>
      <c r="K88" s="126">
        <f t="shared" si="18"/>
        <v>0</v>
      </c>
      <c r="L88" s="5">
        <f t="shared" si="5"/>
        <v>0</v>
      </c>
      <c r="M88" s="5">
        <f t="shared" si="30"/>
        <v>0</v>
      </c>
      <c r="N88" s="5">
        <f t="shared" si="20"/>
        <v>0</v>
      </c>
      <c r="O88" s="81">
        <f t="shared" si="27"/>
        <v>0</v>
      </c>
      <c r="P88" s="81">
        <f t="shared" si="22"/>
        <v>0</v>
      </c>
      <c r="Q88" s="82">
        <f>IF(Listas!$H$21=Listas!$I$15,1,IF(B88&lt;=$C$21,ROUND((EOMONTH(A88,0)-EOMONTH(A87,0))/30,0),0))</f>
        <v>0</v>
      </c>
      <c r="R88" s="138"/>
      <c r="S88" s="179" t="str">
        <f t="shared" si="34"/>
        <v/>
      </c>
      <c r="T88" s="179"/>
      <c r="U88" s="140" t="str">
        <f t="shared" si="35"/>
        <v/>
      </c>
      <c r="V88" s="141" t="str">
        <f t="shared" si="36"/>
        <v/>
      </c>
      <c r="W88" s="141" t="str">
        <f>IF(U87="","",IF(U88="",SUM($W$42:W87),IF(U88=$C$21,V87,Z88-X88-Y88)))</f>
        <v/>
      </c>
      <c r="X88" s="142" t="str">
        <f>IF(U87="","",IF(U88="",SUM($X$42:X87),ROUND(((1+$C$24)^(AG88/30)-1)*V87,2)))</f>
        <v/>
      </c>
      <c r="Y88" s="142">
        <f>IF($C$23=0,0,IF(OR(Listas!$K$6=Listas!$L$3,Listas!$K$6=Listas!$L$4),0,IF($C$23="",0,IF(Listas!$D$5=Listas!$C$3,ROUND(IF(U88&lt;=$C$21,IF(ROUND((V87/$T$120)*$C$23*AI88,2)&lt;(1/$T$120),ROUND((1/$T$120),2),ROUND((V87/$T$120)*$C$23,2)*AI88),0),2),IF(Listas!$D$5=Listas!$C$2,ROUND(IF(U88&lt;=$C$21,IF(ROUND(V87*$C$23*AI88,2)&lt;1,1,ROUND(V87*$C$23,2)*AI88),0),2))))))</f>
        <v>0</v>
      </c>
      <c r="Z88" s="141" t="str">
        <f>IF(U87="","",IF(U88="",SUM($Z$42:Z87),IF(U88=$C$21,SUM(W88,X88,Y88,AQ88),IF(U88&lt;$C$21,$C$34,0))))</f>
        <v/>
      </c>
      <c r="AA88" s="141" t="str">
        <f>IF(U87="","",IF(U88="",SUM($AA$42:AA87),IF(U88&lt;=$C$21,$C$17,0)))</f>
        <v/>
      </c>
      <c r="AB88" s="141">
        <f t="shared" si="38"/>
        <v>0</v>
      </c>
      <c r="AC88" s="109"/>
      <c r="AD88" s="139" t="str">
        <f t="shared" si="42"/>
        <v/>
      </c>
      <c r="AE88" s="40">
        <f t="shared" si="43"/>
        <v>0</v>
      </c>
      <c r="AG88" s="5">
        <f t="shared" si="39"/>
        <v>0</v>
      </c>
      <c r="AH88" s="5">
        <f t="shared" si="12"/>
        <v>0</v>
      </c>
      <c r="AI88" s="82">
        <f>IF(Listas!$H$21=Listas!$I$17,1,IF(U88&lt;=$C$21,ROUND((EOMONTH(S88,0)-EOMONTH(S87,0))/30,0),0))</f>
        <v>0</v>
      </c>
      <c r="AL88" s="77">
        <f t="shared" si="37"/>
        <v>0</v>
      </c>
      <c r="AP88" s="6">
        <f t="shared" si="40"/>
        <v>0</v>
      </c>
      <c r="AQ88" s="5">
        <f t="shared" si="41"/>
        <v>0</v>
      </c>
    </row>
    <row r="89" spans="1:43">
      <c r="A89" s="77" t="str">
        <f>IF(IFERROR(VLOOKUP(C89,Listas!AT:AV,3,FALSE),0)=1,IF(WEEKDAY(C89+1)=7,C89+2,C89+1),C89)</f>
        <v/>
      </c>
      <c r="B89" s="5">
        <v>48</v>
      </c>
      <c r="C89" s="80" t="str">
        <f>IF(B89&gt;$C$21,"",IF(Listas!$I$21=Listas!$I$17,IF(WEEKDAY(C88+$D$13)=1,C88+$D$13+1,C88+$D$13),IF(B89&lt;=$C$21,IF((DATE(YEAR(C88),MONTH(C88)+1,DAY($C$14))-C88)&gt;=27,IF(WEEKDAY(DATE(YEAR(C88),MONTH(C88)+1,DAY($C$14)))=1,DATE(YEAR(C88),MONTH(C88)+1,DAY($C$14)+1),DATE(YEAR(C88),MONTH(C88)+1,DAY($C$14))),DATE(YEAR(C88),MONTH(C88)+2,DAY($C$14))),"")))</f>
        <v/>
      </c>
      <c r="D89" s="6" t="str">
        <f t="shared" si="15"/>
        <v/>
      </c>
      <c r="E89" s="4" t="str">
        <f t="shared" si="3"/>
        <v/>
      </c>
      <c r="F89" s="4">
        <f>IF($C$23=0,0,IF(OR(Listas!$K$6=Listas!$L$3,Listas!$K$6=Listas!$L$4),0,IF($C$23="",0,IF(Listas!$D$5=Listas!$C$3,ROUND(IF(B89&lt;=$C$21,IF(ROUND((D88/$T$120)*$C$23*Q89,2)&lt;(1/$T$120),ROUND((1/$T$120),2),ROUND((D88/$T$120)*$C$23,2)*Q89),0),2),IF(Listas!$D$5=Listas!$C$2,ROUND(IF(B89&lt;=$C$21,IF(ROUND(D88*$C$23*Q89,2)&lt;1,1,ROUND(D88*$C$23,2)*Q89),0),2))))))</f>
        <v>0</v>
      </c>
      <c r="G89" s="6" t="str">
        <f t="shared" si="25"/>
        <v/>
      </c>
      <c r="H89" s="6"/>
      <c r="I89" s="6">
        <f t="shared" si="26"/>
        <v>0</v>
      </c>
      <c r="J89" s="5">
        <f t="shared" si="4"/>
        <v>0</v>
      </c>
      <c r="K89" s="126">
        <f t="shared" si="18"/>
        <v>0</v>
      </c>
      <c r="L89" s="5">
        <f t="shared" si="5"/>
        <v>0</v>
      </c>
      <c r="M89" s="5">
        <f t="shared" si="30"/>
        <v>0</v>
      </c>
      <c r="N89" s="5">
        <f t="shared" si="20"/>
        <v>0</v>
      </c>
      <c r="O89" s="81">
        <f t="shared" si="27"/>
        <v>0</v>
      </c>
      <c r="P89" s="81">
        <f t="shared" si="22"/>
        <v>0</v>
      </c>
      <c r="Q89" s="82">
        <f>IF(Listas!$H$21=Listas!$I$15,1,IF(B89&lt;=$C$21,ROUND((EOMONTH(A89,0)-EOMONTH(A88,0))/30,0),0))</f>
        <v>0</v>
      </c>
      <c r="R89" s="138"/>
      <c r="S89" s="179" t="str">
        <f t="shared" si="34"/>
        <v/>
      </c>
      <c r="T89" s="179"/>
      <c r="U89" s="140" t="str">
        <f t="shared" si="35"/>
        <v/>
      </c>
      <c r="V89" s="141" t="str">
        <f t="shared" si="36"/>
        <v/>
      </c>
      <c r="W89" s="141" t="str">
        <f>IF(U88="","",IF(U89="",SUM($W$42:W88),IF(U89=$C$21,V88,Z89-X89-Y89)))</f>
        <v/>
      </c>
      <c r="X89" s="142" t="str">
        <f>IF(U88="","",IF(U89="",SUM($X$42:X88),ROUND(((1+$C$24)^(AG89/30)-1)*V88,2)))</f>
        <v/>
      </c>
      <c r="Y89" s="142">
        <f>IF($C$23=0,0,IF(OR(Listas!$K$6=Listas!$L$3,Listas!$K$6=Listas!$L$4),0,IF($C$23="",0,IF(Listas!$D$5=Listas!$C$3,ROUND(IF(U89&lt;=$C$21,IF(ROUND((V88/$T$120)*$C$23*AI89,2)&lt;(1/$T$120),ROUND((1/$T$120),2),ROUND((V88/$T$120)*$C$23,2)*AI89),0),2),IF(Listas!$D$5=Listas!$C$2,ROUND(IF(U89&lt;=$C$21,IF(ROUND(V88*$C$23*AI89,2)&lt;1,1,ROUND(V88*$C$23,2)*AI89),0),2))))))</f>
        <v>0</v>
      </c>
      <c r="Z89" s="141" t="str">
        <f>IF(U88="","",IF(U89="",SUM($Z$42:Z88),IF(U89=$C$21,SUM(W89,X89,Y89,AQ89),IF(U89&lt;$C$21,$C$34,0))))</f>
        <v/>
      </c>
      <c r="AA89" s="141" t="str">
        <f>IF(U88="","",IF(U89="",SUM($AA$42:AA88),IF(U89&lt;=$C$21,$C$17,0)))</f>
        <v/>
      </c>
      <c r="AB89" s="141">
        <f t="shared" si="38"/>
        <v>0</v>
      </c>
      <c r="AC89" s="109"/>
      <c r="AD89" s="139" t="str">
        <f t="shared" si="42"/>
        <v/>
      </c>
      <c r="AE89" s="40">
        <f t="shared" si="43"/>
        <v>0</v>
      </c>
      <c r="AG89" s="5">
        <f t="shared" si="39"/>
        <v>0</v>
      </c>
      <c r="AH89" s="5">
        <f t="shared" si="12"/>
        <v>0</v>
      </c>
      <c r="AI89" s="82">
        <f>IF(Listas!$H$21=Listas!$I$17,1,IF(U89&lt;=$C$21,ROUND((EOMONTH(S89,0)-EOMONTH(S88,0))/30,0),0))</f>
        <v>0</v>
      </c>
      <c r="AL89" s="77">
        <f t="shared" si="37"/>
        <v>0</v>
      </c>
      <c r="AP89" s="6">
        <f t="shared" si="40"/>
        <v>0</v>
      </c>
      <c r="AQ89" s="5">
        <f t="shared" si="41"/>
        <v>0</v>
      </c>
    </row>
    <row r="90" spans="1:43" ht="15" customHeight="1">
      <c r="A90" s="77" t="str">
        <f>IF(IFERROR(VLOOKUP(C90,Listas!AT:AV,3,FALSE),0)=1,IF(WEEKDAY(C90+1)=7,C90+2,C90+1),C90)</f>
        <v/>
      </c>
      <c r="B90" s="5">
        <v>49</v>
      </c>
      <c r="C90" s="80" t="str">
        <f>IF(B90&gt;$C$21,"",IF(Listas!$I$21=Listas!$I$17,IF(WEEKDAY(C89+$D$13)=1,C89+$D$13+1,C89+$D$13),IF(B90&lt;=$C$21,IF((DATE(YEAR(C89),MONTH(C89)+1,DAY($C$14))-C89)&gt;=27,IF(WEEKDAY(DATE(YEAR(C89),MONTH(C89)+1,DAY($C$14)))=1,DATE(YEAR(C89),MONTH(C89)+1,DAY($C$14)+1),DATE(YEAR(C89),MONTH(C89)+1,DAY($C$14))),DATE(YEAR(C89),MONTH(C89)+2,DAY($C$14))),"")))</f>
        <v/>
      </c>
      <c r="D90" s="6" t="str">
        <f t="shared" si="15"/>
        <v/>
      </c>
      <c r="E90" s="4" t="str">
        <f t="shared" si="3"/>
        <v/>
      </c>
      <c r="F90" s="4">
        <f>IF($C$23=0,0,IF(OR(Listas!$K$6=Listas!$L$3,Listas!$K$6=Listas!$L$4),0,IF($C$23="",0,IF(Listas!$D$5=Listas!$C$3,ROUND(IF(B90&lt;=$C$21,IF(ROUND((D89/$T$120)*$C$23*Q90,2)&lt;(1/$T$120),ROUND((1/$T$120),2),ROUND((D89/$T$120)*$C$23,2)*Q90),0),2),IF(Listas!$D$5=Listas!$C$2,ROUND(IF(B90&lt;=$C$21,IF(ROUND(D89*$C$23*Q90,2)&lt;1,1,ROUND(D89*$C$23,2)*Q90),0),2))))))</f>
        <v>0</v>
      </c>
      <c r="G90" s="6" t="str">
        <f t="shared" si="25"/>
        <v/>
      </c>
      <c r="H90" s="6"/>
      <c r="I90" s="6">
        <f t="shared" si="26"/>
        <v>0</v>
      </c>
      <c r="J90" s="5">
        <f t="shared" si="4"/>
        <v>0</v>
      </c>
      <c r="K90" s="126">
        <f t="shared" si="18"/>
        <v>0</v>
      </c>
      <c r="L90" s="5">
        <f t="shared" si="5"/>
        <v>0</v>
      </c>
      <c r="M90" s="5">
        <f t="shared" si="30"/>
        <v>0</v>
      </c>
      <c r="N90" s="5">
        <f t="shared" si="20"/>
        <v>0</v>
      </c>
      <c r="O90" s="81">
        <f t="shared" si="27"/>
        <v>0</v>
      </c>
      <c r="P90" s="81">
        <f t="shared" si="22"/>
        <v>0</v>
      </c>
      <c r="Q90" s="82">
        <f>IF(Listas!$H$21=Listas!$I$15,1,IF(B90&lt;=$C$21,ROUND((EOMONTH(A90,0)-EOMONTH(A89,0))/30,0),0))</f>
        <v>0</v>
      </c>
      <c r="R90" s="138"/>
      <c r="S90" s="179" t="str">
        <f t="shared" si="34"/>
        <v/>
      </c>
      <c r="T90" s="179"/>
      <c r="U90" s="140" t="str">
        <f t="shared" si="35"/>
        <v/>
      </c>
      <c r="V90" s="141" t="str">
        <f t="shared" si="36"/>
        <v/>
      </c>
      <c r="W90" s="141" t="str">
        <f>IF(U89="","",IF(U90="",SUM($W$42:W89),IF(U90=$C$21,V89,Z90-X90-Y90)))</f>
        <v/>
      </c>
      <c r="X90" s="142" t="str">
        <f>IF(U89="","",IF(U90="",SUM($X$42:X89),ROUND(((1+$C$24)^(AG90/30)-1)*V89,2)))</f>
        <v/>
      </c>
      <c r="Y90" s="142">
        <f>IF($C$23=0,0,IF(OR(Listas!$K$6=Listas!$L$3,Listas!$K$6=Listas!$L$4),0,IF($C$23="",0,IF(Listas!$D$5=Listas!$C$3,ROUND(IF(U90&lt;=$C$21,IF(ROUND((V89/$T$120)*$C$23*AI90,2)&lt;(1/$T$120),ROUND((1/$T$120),2),ROUND((V89/$T$120)*$C$23,2)*AI90),0),2),IF(Listas!$D$5=Listas!$C$2,ROUND(IF(U90&lt;=$C$21,IF(ROUND(V89*$C$23*AI90,2)&lt;1,1,ROUND(V89*$C$23,2)*AI90),0),2))))))</f>
        <v>0</v>
      </c>
      <c r="Z90" s="141" t="str">
        <f>IF(U89="","",IF(U90="",SUM($Z$42:Z89),IF(U90=$C$21,SUM(W90,X90,Y90,AQ90),IF(U90&lt;$C$21,$C$34,0))))</f>
        <v/>
      </c>
      <c r="AA90" s="141" t="str">
        <f>IF(U89="","",IF(U90="",SUM($AA$42:AA89),IF(U90&lt;=$C$21,$C$17,0)))</f>
        <v/>
      </c>
      <c r="AB90" s="141">
        <f t="shared" si="38"/>
        <v>0</v>
      </c>
      <c r="AC90" s="109"/>
      <c r="AD90" s="139" t="str">
        <f t="shared" si="42"/>
        <v/>
      </c>
      <c r="AE90" s="40">
        <f t="shared" si="43"/>
        <v>0</v>
      </c>
      <c r="AG90" s="5">
        <f t="shared" si="39"/>
        <v>0</v>
      </c>
      <c r="AH90" s="5">
        <f t="shared" si="12"/>
        <v>0</v>
      </c>
      <c r="AI90" s="82">
        <f>IF(Listas!$H$21=Listas!$I$17,1,IF(U90&lt;=$C$21,ROUND((EOMONTH(S90,0)-EOMONTH(S89,0))/30,0),0))</f>
        <v>0</v>
      </c>
      <c r="AL90" s="77">
        <f t="shared" si="37"/>
        <v>0</v>
      </c>
      <c r="AP90" s="6">
        <f t="shared" si="40"/>
        <v>0</v>
      </c>
      <c r="AQ90" s="5">
        <f t="shared" si="41"/>
        <v>0</v>
      </c>
    </row>
    <row r="91" spans="1:43" ht="15" customHeight="1">
      <c r="A91" s="77" t="str">
        <f>IF(IFERROR(VLOOKUP(C91,Listas!AT:AV,3,FALSE),0)=1,IF(WEEKDAY(C91+1)=7,C91+2,C91+1),C91)</f>
        <v/>
      </c>
      <c r="B91" s="5">
        <v>50</v>
      </c>
      <c r="C91" s="80" t="str">
        <f>IF(B91&gt;$C$21,"",IF(Listas!$I$21=Listas!$I$17,IF(WEEKDAY(C90+$D$13)=1,C90+$D$13+1,C90+$D$13),IF(B91&lt;=$C$21,IF((DATE(YEAR(C90),MONTH(C90)+1,DAY($C$14))-C90)&gt;=27,IF(WEEKDAY(DATE(YEAR(C90),MONTH(C90)+1,DAY($C$14)))=1,DATE(YEAR(C90),MONTH(C90)+1,DAY($C$14)+1),DATE(YEAR(C90),MONTH(C90)+1,DAY($C$14))),DATE(YEAR(C90),MONTH(C90)+2,DAY($C$14))),"")))</f>
        <v/>
      </c>
      <c r="D91" s="6" t="str">
        <f t="shared" si="15"/>
        <v/>
      </c>
      <c r="E91" s="4" t="str">
        <f t="shared" si="3"/>
        <v/>
      </c>
      <c r="F91" s="4">
        <f>IF($C$23=0,0,IF(OR(Listas!$K$6=Listas!$L$3,Listas!$K$6=Listas!$L$4),0,IF($C$23="",0,IF(Listas!$D$5=Listas!$C$3,ROUND(IF(B91&lt;=$C$21,IF(ROUND((D90/$T$120)*$C$23*Q91,2)&lt;(1/$T$120),ROUND((1/$T$120),2),ROUND((D90/$T$120)*$C$23,2)*Q91),0),2),IF(Listas!$D$5=Listas!$C$2,ROUND(IF(B91&lt;=$C$21,IF(ROUND(D90*$C$23*Q91,2)&lt;1,1,ROUND(D90*$C$23,2)*Q91),0),2))))))</f>
        <v>0</v>
      </c>
      <c r="G91" s="6" t="str">
        <f t="shared" si="25"/>
        <v/>
      </c>
      <c r="H91" s="6"/>
      <c r="I91" s="6">
        <f t="shared" si="26"/>
        <v>0</v>
      </c>
      <c r="J91" s="5">
        <f t="shared" si="4"/>
        <v>0</v>
      </c>
      <c r="K91" s="126">
        <f t="shared" si="18"/>
        <v>0</v>
      </c>
      <c r="L91" s="5">
        <f t="shared" si="5"/>
        <v>0</v>
      </c>
      <c r="M91" s="5">
        <f t="shared" si="30"/>
        <v>0</v>
      </c>
      <c r="N91" s="5">
        <f t="shared" si="20"/>
        <v>0</v>
      </c>
      <c r="O91" s="81">
        <f t="shared" si="27"/>
        <v>0</v>
      </c>
      <c r="P91" s="81">
        <f t="shared" si="22"/>
        <v>0</v>
      </c>
      <c r="Q91" s="82">
        <f>IF(Listas!$H$21=Listas!$I$15,1,IF(B91&lt;=$C$21,ROUND((EOMONTH(A91,0)-EOMONTH(A90,0))/30,0),0))</f>
        <v>0</v>
      </c>
      <c r="R91" s="138"/>
      <c r="S91" s="179" t="str">
        <f t="shared" si="34"/>
        <v/>
      </c>
      <c r="T91" s="179"/>
      <c r="U91" s="140" t="str">
        <f t="shared" si="35"/>
        <v/>
      </c>
      <c r="V91" s="141" t="str">
        <f t="shared" si="36"/>
        <v/>
      </c>
      <c r="W91" s="141" t="str">
        <f>IF(U90="","",IF(U91="",SUM($W$42:W90),IF(U91=$C$21,V90,Z91-X91-Y91)))</f>
        <v/>
      </c>
      <c r="X91" s="142" t="str">
        <f>IF(U90="","",IF(U91="",SUM($X$42:X90),ROUND(((1+$C$24)^(AG91/30)-1)*V90,2)))</f>
        <v/>
      </c>
      <c r="Y91" s="142">
        <f>IF($C$23=0,0,IF(OR(Listas!$K$6=Listas!$L$3,Listas!$K$6=Listas!$L$4),0,IF($C$23="",0,IF(Listas!$D$5=Listas!$C$3,ROUND(IF(U91&lt;=$C$21,IF(ROUND((V90/$T$120)*$C$23*AI91,2)&lt;(1/$T$120),ROUND((1/$T$120),2),ROUND((V90/$T$120)*$C$23,2)*AI91),0),2),IF(Listas!$D$5=Listas!$C$2,ROUND(IF(U91&lt;=$C$21,IF(ROUND(V90*$C$23*AI91,2)&lt;1,1,ROUND(V90*$C$23,2)*AI91),0),2))))))</f>
        <v>0</v>
      </c>
      <c r="Z91" s="141" t="str">
        <f>IF(U90="","",IF(U91="",SUM($Z$42:Z90),IF(U91=$C$21,SUM(W91,X91,Y91,AQ91),IF(U91&lt;$C$21,$C$34,0))))</f>
        <v/>
      </c>
      <c r="AA91" s="141" t="str">
        <f>IF(U90="","",IF(U91="",SUM($AA$42:AA90),IF(U91&lt;=$C$21,$C$17,0)))</f>
        <v/>
      </c>
      <c r="AB91" s="141">
        <f t="shared" si="38"/>
        <v>0</v>
      </c>
      <c r="AC91" s="109"/>
      <c r="AD91" s="139" t="str">
        <f t="shared" si="42"/>
        <v/>
      </c>
      <c r="AE91" s="40">
        <f t="shared" si="43"/>
        <v>0</v>
      </c>
      <c r="AG91" s="5">
        <f t="shared" si="39"/>
        <v>0</v>
      </c>
      <c r="AH91" s="5">
        <f t="shared" si="12"/>
        <v>0</v>
      </c>
      <c r="AI91" s="82">
        <f>IF(Listas!$H$21=Listas!$I$17,1,IF(U91&lt;=$C$21,ROUND((EOMONTH(S91,0)-EOMONTH(S90,0))/30,0),0))</f>
        <v>0</v>
      </c>
      <c r="AL91" s="77">
        <f t="shared" si="37"/>
        <v>0</v>
      </c>
      <c r="AP91" s="6">
        <f t="shared" si="40"/>
        <v>0</v>
      </c>
      <c r="AQ91" s="5">
        <f t="shared" si="41"/>
        <v>0</v>
      </c>
    </row>
    <row r="92" spans="1:43" ht="15" customHeight="1">
      <c r="A92" s="77" t="str">
        <f>IF(IFERROR(VLOOKUP(C92,Listas!AT:AV,3,FALSE),0)=1,IF(WEEKDAY(C92+1)=7,C92+2,C92+1),C92)</f>
        <v/>
      </c>
      <c r="B92" s="5">
        <v>51</v>
      </c>
      <c r="C92" s="80" t="str">
        <f>IF(B92&gt;$C$21,"",IF(Listas!$I$21=Listas!$I$17,IF(WEEKDAY(C91+$D$13)=1,C91+$D$13+1,C91+$D$13),IF(B92&lt;=$C$21,IF((DATE(YEAR(C91),MONTH(C91)+1,DAY($C$14))-C91)&gt;=27,IF(WEEKDAY(DATE(YEAR(C91),MONTH(C91)+1,DAY($C$14)))=1,DATE(YEAR(C91),MONTH(C91)+1,DAY($C$14)+1),DATE(YEAR(C91),MONTH(C91)+1,DAY($C$14))),DATE(YEAR(C91),MONTH(C91)+2,DAY($C$14))),"")))</f>
        <v/>
      </c>
      <c r="D92" s="6" t="str">
        <f t="shared" si="15"/>
        <v/>
      </c>
      <c r="E92" s="4" t="str">
        <f t="shared" si="3"/>
        <v/>
      </c>
      <c r="F92" s="4">
        <f>IF($C$23=0,0,IF(OR(Listas!$K$6=Listas!$L$3,Listas!$K$6=Listas!$L$4),0,IF($C$23="",0,IF(Listas!$D$5=Listas!$C$3,ROUND(IF(B92&lt;=$C$21,IF(ROUND((D91/$T$120)*$C$23*Q92,2)&lt;(1/$T$120),ROUND((1/$T$120),2),ROUND((D91/$T$120)*$C$23,2)*Q92),0),2),IF(Listas!$D$5=Listas!$C$2,ROUND(IF(B92&lt;=$C$21,IF(ROUND(D91*$C$23*Q92,2)&lt;1,1,ROUND(D91*$C$23,2)*Q92),0),2))))))</f>
        <v>0</v>
      </c>
      <c r="G92" s="6" t="str">
        <f t="shared" si="25"/>
        <v/>
      </c>
      <c r="H92" s="6"/>
      <c r="I92" s="6">
        <f t="shared" si="26"/>
        <v>0</v>
      </c>
      <c r="J92" s="5">
        <f t="shared" si="4"/>
        <v>0</v>
      </c>
      <c r="K92" s="126">
        <f t="shared" si="18"/>
        <v>0</v>
      </c>
      <c r="L92" s="5">
        <f t="shared" si="5"/>
        <v>0</v>
      </c>
      <c r="M92" s="5">
        <f t="shared" si="30"/>
        <v>0</v>
      </c>
      <c r="N92" s="5">
        <f t="shared" si="20"/>
        <v>0</v>
      </c>
      <c r="O92" s="81">
        <f t="shared" si="27"/>
        <v>0</v>
      </c>
      <c r="P92" s="81">
        <f t="shared" si="22"/>
        <v>0</v>
      </c>
      <c r="Q92" s="82">
        <f>IF(Listas!$H$21=Listas!$I$15,1,IF(B92&lt;=$C$21,ROUND((EOMONTH(A92,0)-EOMONTH(A91,0))/30,0),0))</f>
        <v>0</v>
      </c>
      <c r="R92" s="138"/>
      <c r="S92" s="179" t="str">
        <f t="shared" si="34"/>
        <v/>
      </c>
      <c r="T92" s="179"/>
      <c r="U92" s="140" t="str">
        <f t="shared" si="35"/>
        <v/>
      </c>
      <c r="V92" s="141" t="str">
        <f t="shared" si="36"/>
        <v/>
      </c>
      <c r="W92" s="141" t="str">
        <f>IF(U91="","",IF(U92="",SUM($W$42:W91),IF(U92=$C$21,V91,Z92-X92-Y92)))</f>
        <v/>
      </c>
      <c r="X92" s="142" t="str">
        <f>IF(U91="","",IF(U92="",SUM($X$42:X91),ROUND(((1+$C$24)^(AG92/30)-1)*V91,2)))</f>
        <v/>
      </c>
      <c r="Y92" s="142">
        <f>IF($C$23=0,0,IF(OR(Listas!$K$6=Listas!$L$3,Listas!$K$6=Listas!$L$4),0,IF($C$23="",0,IF(Listas!$D$5=Listas!$C$3,ROUND(IF(U92&lt;=$C$21,IF(ROUND((V91/$T$120)*$C$23*AI92,2)&lt;(1/$T$120),ROUND((1/$T$120),2),ROUND((V91/$T$120)*$C$23,2)*AI92),0),2),IF(Listas!$D$5=Listas!$C$2,ROUND(IF(U92&lt;=$C$21,IF(ROUND(V91*$C$23*AI92,2)&lt;1,1,ROUND(V91*$C$23,2)*AI92),0),2))))))</f>
        <v>0</v>
      </c>
      <c r="Z92" s="141" t="str">
        <f>IF(U91="","",IF(U92="",SUM($Z$42:Z91),IF(U92=$C$21,SUM(W92,X92,Y92,AQ92),IF(U92&lt;$C$21,$C$34,0))))</f>
        <v/>
      </c>
      <c r="AA92" s="141" t="str">
        <f>IF(U91="","",IF(U92="",SUM($AA$42:AA91),IF(U92&lt;=$C$21,$C$17,0)))</f>
        <v/>
      </c>
      <c r="AB92" s="141">
        <f t="shared" si="38"/>
        <v>0</v>
      </c>
      <c r="AC92" s="109"/>
      <c r="AD92" s="139" t="str">
        <f t="shared" si="42"/>
        <v/>
      </c>
      <c r="AE92" s="40">
        <f t="shared" si="43"/>
        <v>0</v>
      </c>
      <c r="AG92" s="5">
        <f t="shared" si="39"/>
        <v>0</v>
      </c>
      <c r="AH92" s="5">
        <f t="shared" si="12"/>
        <v>0</v>
      </c>
      <c r="AI92" s="82">
        <f>IF(Listas!$H$21=Listas!$I$17,1,IF(U92&lt;=$C$21,ROUND((EOMONTH(S92,0)-EOMONTH(S91,0))/30,0),0))</f>
        <v>0</v>
      </c>
      <c r="AL92" s="77">
        <f t="shared" si="37"/>
        <v>0</v>
      </c>
      <c r="AP92" s="6">
        <f t="shared" si="40"/>
        <v>0</v>
      </c>
      <c r="AQ92" s="5">
        <f t="shared" si="41"/>
        <v>0</v>
      </c>
    </row>
    <row r="93" spans="1:43" ht="15" customHeight="1">
      <c r="A93" s="77" t="str">
        <f>IF(IFERROR(VLOOKUP(C93,Listas!AT:AV,3,FALSE),0)=1,IF(WEEKDAY(C93+1)=7,C93+2,C93+1),C93)</f>
        <v/>
      </c>
      <c r="B93" s="5">
        <v>52</v>
      </c>
      <c r="C93" s="80" t="str">
        <f>IF(B93&gt;$C$21,"",IF(Listas!$I$21=Listas!$I$17,IF(WEEKDAY(C92+$D$13)=1,C92+$D$13+1,C92+$D$13),IF(B93&lt;=$C$21,IF((DATE(YEAR(C92),MONTH(C92)+1,DAY($C$14))-C92)&gt;=27,IF(WEEKDAY(DATE(YEAR(C92),MONTH(C92)+1,DAY($C$14)))=1,DATE(YEAR(C92),MONTH(C92)+1,DAY($C$14)+1),DATE(YEAR(C92),MONTH(C92)+1,DAY($C$14))),DATE(YEAR(C92),MONTH(C92)+2,DAY($C$14))),"")))</f>
        <v/>
      </c>
      <c r="D93" s="6" t="str">
        <f t="shared" si="15"/>
        <v/>
      </c>
      <c r="E93" s="4" t="str">
        <f t="shared" si="3"/>
        <v/>
      </c>
      <c r="F93" s="4">
        <f>IF($C$23=0,0,IF(OR(Listas!$K$6=Listas!$L$3,Listas!$K$6=Listas!$L$4),0,IF($C$23="",0,IF(Listas!$D$5=Listas!$C$3,ROUND(IF(B93&lt;=$C$21,IF(ROUND((D92/$T$120)*$C$23*Q93,2)&lt;(1/$T$120),ROUND((1/$T$120),2),ROUND((D92/$T$120)*$C$23,2)*Q93),0),2),IF(Listas!$D$5=Listas!$C$2,ROUND(IF(B93&lt;=$C$21,IF(ROUND(D92*$C$23*Q93,2)&lt;1,1,ROUND(D92*$C$23,2)*Q93),0),2))))))</f>
        <v>0</v>
      </c>
      <c r="G93" s="6" t="str">
        <f t="shared" si="25"/>
        <v/>
      </c>
      <c r="H93" s="6"/>
      <c r="I93" s="6">
        <f t="shared" si="26"/>
        <v>0</v>
      </c>
      <c r="J93" s="5">
        <f t="shared" si="4"/>
        <v>0</v>
      </c>
      <c r="K93" s="126">
        <f t="shared" si="18"/>
        <v>0</v>
      </c>
      <c r="L93" s="5">
        <f t="shared" si="5"/>
        <v>0</v>
      </c>
      <c r="M93" s="5">
        <f t="shared" si="30"/>
        <v>0</v>
      </c>
      <c r="N93" s="5">
        <f t="shared" si="20"/>
        <v>0</v>
      </c>
      <c r="O93" s="81">
        <f t="shared" si="27"/>
        <v>0</v>
      </c>
      <c r="P93" s="81">
        <f t="shared" si="22"/>
        <v>0</v>
      </c>
      <c r="Q93" s="82">
        <f>IF(Listas!$H$21=Listas!$I$15,1,IF(B93&lt;=$C$21,ROUND((EOMONTH(A93,0)-EOMONTH(A92,0))/30,0),0))</f>
        <v>0</v>
      </c>
      <c r="R93" s="138"/>
      <c r="S93" s="179" t="str">
        <f t="shared" si="34"/>
        <v/>
      </c>
      <c r="T93" s="179"/>
      <c r="U93" s="140" t="str">
        <f t="shared" si="35"/>
        <v/>
      </c>
      <c r="V93" s="141" t="str">
        <f t="shared" si="36"/>
        <v/>
      </c>
      <c r="W93" s="141" t="str">
        <f>IF(U92="","",IF(U93="",SUM($W$42:W92),IF(U93=$C$21,V92,Z93-X93-Y93)))</f>
        <v/>
      </c>
      <c r="X93" s="142" t="str">
        <f>IF(U92="","",IF(U93="",SUM($X$42:X92),ROUND(((1+$C$24)^(AG93/30)-1)*V92,2)))</f>
        <v/>
      </c>
      <c r="Y93" s="142">
        <f>IF($C$23=0,0,IF(OR(Listas!$K$6=Listas!$L$3,Listas!$K$6=Listas!$L$4),0,IF($C$23="",0,IF(Listas!$D$5=Listas!$C$3,ROUND(IF(U93&lt;=$C$21,IF(ROUND((V92/$T$120)*$C$23*AI93,2)&lt;(1/$T$120),ROUND((1/$T$120),2),ROUND((V92/$T$120)*$C$23,2)*AI93),0),2),IF(Listas!$D$5=Listas!$C$2,ROUND(IF(U93&lt;=$C$21,IF(ROUND(V92*$C$23*AI93,2)&lt;1,1,ROUND(V92*$C$23,2)*AI93),0),2))))))</f>
        <v>0</v>
      </c>
      <c r="Z93" s="141" t="str">
        <f>IF(U92="","",IF(U93="",SUM($Z$42:Z92),IF(U93=$C$21,SUM(W93,X93,Y93,AQ93),IF(U93&lt;$C$21,$C$34,0))))</f>
        <v/>
      </c>
      <c r="AA93" s="141" t="str">
        <f>IF(U92="","",IF(U93="",SUM($AA$42:AA92),IF(U93&lt;=$C$21,$C$17,0)))</f>
        <v/>
      </c>
      <c r="AB93" s="141">
        <f t="shared" si="38"/>
        <v>0</v>
      </c>
      <c r="AC93" s="109"/>
      <c r="AD93" s="139" t="str">
        <f t="shared" si="42"/>
        <v/>
      </c>
      <c r="AE93" s="40">
        <f t="shared" si="43"/>
        <v>0</v>
      </c>
      <c r="AG93" s="5">
        <f t="shared" si="39"/>
        <v>0</v>
      </c>
      <c r="AH93" s="5">
        <f t="shared" si="12"/>
        <v>0</v>
      </c>
      <c r="AI93" s="82">
        <f>IF(Listas!$H$21=Listas!$I$17,1,IF(U93&lt;=$C$21,ROUND((EOMONTH(S93,0)-EOMONTH(S92,0))/30,0),0))</f>
        <v>0</v>
      </c>
      <c r="AL93" s="77">
        <f t="shared" si="37"/>
        <v>0</v>
      </c>
      <c r="AP93" s="6">
        <f t="shared" si="40"/>
        <v>0</v>
      </c>
      <c r="AQ93" s="5">
        <f t="shared" si="41"/>
        <v>0</v>
      </c>
    </row>
    <row r="94" spans="1:43" ht="15" customHeight="1">
      <c r="A94" s="77" t="str">
        <f>IF(IFERROR(VLOOKUP(C94,Listas!AT:AV,3,FALSE),0)=1,IF(WEEKDAY(C94+1)=7,C94+2,C94+1),C94)</f>
        <v/>
      </c>
      <c r="B94" s="5">
        <v>53</v>
      </c>
      <c r="C94" s="80" t="str">
        <f>IF(B94&gt;$C$21,"",IF(Listas!$I$21=Listas!$I$17,IF(WEEKDAY(C93+$D$13)=1,C93+$D$13+1,C93+$D$13),IF(B94&lt;=$C$21,IF((DATE(YEAR(C93),MONTH(C93)+1,DAY($C$14))-C93)&gt;=27,IF(WEEKDAY(DATE(YEAR(C93),MONTH(C93)+1,DAY($C$14)))=1,DATE(YEAR(C93),MONTH(C93)+1,DAY($C$14)+1),DATE(YEAR(C93),MONTH(C93)+1,DAY($C$14))),DATE(YEAR(C93),MONTH(C93)+2,DAY($C$14))),"")))</f>
        <v/>
      </c>
      <c r="D94" s="6" t="str">
        <f t="shared" si="15"/>
        <v/>
      </c>
      <c r="E94" s="4" t="str">
        <f t="shared" si="3"/>
        <v/>
      </c>
      <c r="F94" s="4">
        <f>IF($C$23=0,0,IF(OR(Listas!$K$6=Listas!$L$3,Listas!$K$6=Listas!$L$4),0,IF($C$23="",0,IF(Listas!$D$5=Listas!$C$3,ROUND(IF(B94&lt;=$C$21,IF(ROUND((D93/$T$120)*$C$23*Q94,2)&lt;(1/$T$120),ROUND((1/$T$120),2),ROUND((D93/$T$120)*$C$23,2)*Q94),0),2),IF(Listas!$D$5=Listas!$C$2,ROUND(IF(B94&lt;=$C$21,IF(ROUND(D93*$C$23*Q94,2)&lt;1,1,ROUND(D93*$C$23,2)*Q94),0),2))))))</f>
        <v>0</v>
      </c>
      <c r="G94" s="6" t="str">
        <f t="shared" si="25"/>
        <v/>
      </c>
      <c r="H94" s="6"/>
      <c r="I94" s="6">
        <f t="shared" si="26"/>
        <v>0</v>
      </c>
      <c r="J94" s="5">
        <f t="shared" si="4"/>
        <v>0</v>
      </c>
      <c r="K94" s="126">
        <f t="shared" si="18"/>
        <v>0</v>
      </c>
      <c r="L94" s="5">
        <f t="shared" si="5"/>
        <v>0</v>
      </c>
      <c r="M94" s="5">
        <f t="shared" si="30"/>
        <v>0</v>
      </c>
      <c r="N94" s="5">
        <f t="shared" si="20"/>
        <v>0</v>
      </c>
      <c r="O94" s="81">
        <f t="shared" si="27"/>
        <v>0</v>
      </c>
      <c r="P94" s="81">
        <f t="shared" si="22"/>
        <v>0</v>
      </c>
      <c r="Q94" s="82">
        <f>IF(Listas!$H$21=Listas!$I$15,1,IF(B94&lt;=$C$21,ROUND((EOMONTH(A94,0)-EOMONTH(A93,0))/30,0),0))</f>
        <v>0</v>
      </c>
      <c r="R94" s="138"/>
      <c r="S94" s="179" t="str">
        <f t="shared" si="34"/>
        <v/>
      </c>
      <c r="T94" s="179"/>
      <c r="U94" s="140" t="str">
        <f t="shared" si="35"/>
        <v/>
      </c>
      <c r="V94" s="141" t="str">
        <f t="shared" si="36"/>
        <v/>
      </c>
      <c r="W94" s="141" t="str">
        <f>IF(U93="","",IF(U94="",SUM($W$42:W93),IF(U94=$C$21,V93,Z94-X94-Y94)))</f>
        <v/>
      </c>
      <c r="X94" s="142" t="str">
        <f>IF(U93="","",IF(U94="",SUM($X$42:X93),ROUND(((1+$C$24)^(AG94/30)-1)*V93,2)))</f>
        <v/>
      </c>
      <c r="Y94" s="142">
        <f>IF($C$23=0,0,IF(OR(Listas!$K$6=Listas!$L$3,Listas!$K$6=Listas!$L$4),0,IF($C$23="",0,IF(Listas!$D$5=Listas!$C$3,ROUND(IF(U94&lt;=$C$21,IF(ROUND((V93/$T$120)*$C$23*AI94,2)&lt;(1/$T$120),ROUND((1/$T$120),2),ROUND((V93/$T$120)*$C$23,2)*AI94),0),2),IF(Listas!$D$5=Listas!$C$2,ROUND(IF(U94&lt;=$C$21,IF(ROUND(V93*$C$23*AI94,2)&lt;1,1,ROUND(V93*$C$23,2)*AI94),0),2))))))</f>
        <v>0</v>
      </c>
      <c r="Z94" s="141" t="str">
        <f>IF(U93="","",IF(U94="",SUM($Z$42:Z93),IF(U94=$C$21,SUM(W94,X94,Y94,AQ94),IF(U94&lt;$C$21,$C$34,0))))</f>
        <v/>
      </c>
      <c r="AA94" s="141" t="str">
        <f>IF(U93="","",IF(U94="",SUM($AA$42:AA93),IF(U94&lt;=$C$21,$C$17,0)))</f>
        <v/>
      </c>
      <c r="AB94" s="141">
        <f t="shared" si="38"/>
        <v>0</v>
      </c>
      <c r="AC94" s="109"/>
      <c r="AD94" s="139" t="str">
        <f t="shared" si="42"/>
        <v/>
      </c>
      <c r="AE94" s="40">
        <f t="shared" si="43"/>
        <v>0</v>
      </c>
      <c r="AG94" s="5">
        <f t="shared" si="39"/>
        <v>0</v>
      </c>
      <c r="AH94" s="5">
        <f t="shared" si="12"/>
        <v>0</v>
      </c>
      <c r="AI94" s="82">
        <f>IF(Listas!$H$21=Listas!$I$17,1,IF(U94&lt;=$C$21,ROUND((EOMONTH(S94,0)-EOMONTH(S93,0))/30,0),0))</f>
        <v>0</v>
      </c>
      <c r="AL94" s="77">
        <f t="shared" si="37"/>
        <v>0</v>
      </c>
      <c r="AP94" s="6">
        <f t="shared" si="40"/>
        <v>0</v>
      </c>
      <c r="AQ94" s="5">
        <f t="shared" si="41"/>
        <v>0</v>
      </c>
    </row>
    <row r="95" spans="1:43" ht="15" customHeight="1">
      <c r="A95" s="77" t="str">
        <f>IF(IFERROR(VLOOKUP(C95,Listas!AT:AV,3,FALSE),0)=1,IF(WEEKDAY(C95+1)=7,C95+2,C95+1),C95)</f>
        <v/>
      </c>
      <c r="B95" s="5">
        <v>54</v>
      </c>
      <c r="C95" s="80" t="str">
        <f>IF(B95&gt;$C$21,"",IF(Listas!$I$21=Listas!$I$17,IF(WEEKDAY(C94+$D$13)=1,C94+$D$13+1,C94+$D$13),IF(B95&lt;=$C$21,IF((DATE(YEAR(C94),MONTH(C94)+1,DAY($C$14))-C94)&gt;=27,IF(WEEKDAY(DATE(YEAR(C94),MONTH(C94)+1,DAY($C$14)))=1,DATE(YEAR(C94),MONTH(C94)+1,DAY($C$14)+1),DATE(YEAR(C94),MONTH(C94)+1,DAY($C$14))),DATE(YEAR(C94),MONTH(C94)+2,DAY($C$14))),"")))</f>
        <v/>
      </c>
      <c r="D95" s="6" t="str">
        <f t="shared" si="15"/>
        <v/>
      </c>
      <c r="E95" s="4" t="str">
        <f t="shared" si="3"/>
        <v/>
      </c>
      <c r="F95" s="4">
        <f>IF($C$23=0,0,IF(OR(Listas!$K$6=Listas!$L$3,Listas!$K$6=Listas!$L$4),0,IF($C$23="",0,IF(Listas!$D$5=Listas!$C$3,ROUND(IF(B95&lt;=$C$21,IF(ROUND((D94/$T$120)*$C$23*Q95,2)&lt;(1/$T$120),ROUND((1/$T$120),2),ROUND((D94/$T$120)*$C$23,2)*Q95),0),2),IF(Listas!$D$5=Listas!$C$2,ROUND(IF(B95&lt;=$C$21,IF(ROUND(D94*$C$23*Q95,2)&lt;1,1,ROUND(D94*$C$23,2)*Q95),0),2))))))</f>
        <v>0</v>
      </c>
      <c r="G95" s="6" t="str">
        <f t="shared" si="25"/>
        <v/>
      </c>
      <c r="H95" s="6"/>
      <c r="I95" s="6">
        <f t="shared" si="26"/>
        <v>0</v>
      </c>
      <c r="J95" s="5">
        <f t="shared" si="4"/>
        <v>0</v>
      </c>
      <c r="K95" s="126">
        <f t="shared" si="18"/>
        <v>0</v>
      </c>
      <c r="L95" s="5">
        <f t="shared" si="5"/>
        <v>0</v>
      </c>
      <c r="M95" s="5">
        <f t="shared" si="30"/>
        <v>0</v>
      </c>
      <c r="N95" s="5">
        <f t="shared" si="20"/>
        <v>0</v>
      </c>
      <c r="O95" s="81">
        <f t="shared" si="27"/>
        <v>0</v>
      </c>
      <c r="P95" s="81">
        <f t="shared" si="22"/>
        <v>0</v>
      </c>
      <c r="Q95" s="82">
        <f>IF(Listas!$H$21=Listas!$I$15,1,IF(B95&lt;=$C$21,ROUND((EOMONTH(A95,0)-EOMONTH(A94,0))/30,0),0))</f>
        <v>0</v>
      </c>
      <c r="R95" s="138"/>
      <c r="S95" s="179" t="str">
        <f t="shared" si="34"/>
        <v/>
      </c>
      <c r="T95" s="179"/>
      <c r="U95" s="140" t="str">
        <f t="shared" si="35"/>
        <v/>
      </c>
      <c r="V95" s="141" t="str">
        <f t="shared" si="36"/>
        <v/>
      </c>
      <c r="W95" s="141" t="str">
        <f>IF(U94="","",IF(U95="",SUM($W$42:W94),IF(U95=$C$21,V94,Z95-X95-Y95)))</f>
        <v/>
      </c>
      <c r="X95" s="142" t="str">
        <f>IF(U94="","",IF(U95="",SUM($X$42:X94),ROUND(((1+$C$24)^(AG95/30)-1)*V94,2)))</f>
        <v/>
      </c>
      <c r="Y95" s="142">
        <f>IF($C$23=0,0,IF(OR(Listas!$K$6=Listas!$L$3,Listas!$K$6=Listas!$L$4),0,IF($C$23="",0,IF(Listas!$D$5=Listas!$C$3,ROUND(IF(U95&lt;=$C$21,IF(ROUND((V94/$T$120)*$C$23*AI95,2)&lt;(1/$T$120),ROUND((1/$T$120),2),ROUND((V94/$T$120)*$C$23,2)*AI95),0),2),IF(Listas!$D$5=Listas!$C$2,ROUND(IF(U95&lt;=$C$21,IF(ROUND(V94*$C$23*AI95,2)&lt;1,1,ROUND(V94*$C$23,2)*AI95),0),2))))))</f>
        <v>0</v>
      </c>
      <c r="Z95" s="141" t="str">
        <f>IF(U94="","",IF(U95="",SUM($Z$42:Z94),IF(U95=$C$21,SUM(W95,X95,Y95,AQ95),IF(U95&lt;$C$21,$C$34,0))))</f>
        <v/>
      </c>
      <c r="AA95" s="141" t="str">
        <f>IF(U94="","",IF(U95="",SUM($AA$42:AA94),IF(U95&lt;=$C$21,$C$17,0)))</f>
        <v/>
      </c>
      <c r="AB95" s="141">
        <f t="shared" si="38"/>
        <v>0</v>
      </c>
      <c r="AC95" s="109"/>
      <c r="AD95" s="139" t="str">
        <f t="shared" si="42"/>
        <v/>
      </c>
      <c r="AE95" s="40">
        <f t="shared" si="43"/>
        <v>0</v>
      </c>
      <c r="AG95" s="5">
        <f t="shared" si="39"/>
        <v>0</v>
      </c>
      <c r="AH95" s="5">
        <f t="shared" si="12"/>
        <v>0</v>
      </c>
      <c r="AI95" s="82">
        <f>IF(Listas!$H$21=Listas!$I$17,1,IF(U95&lt;=$C$21,ROUND((EOMONTH(S95,0)-EOMONTH(S94,0))/30,0),0))</f>
        <v>0</v>
      </c>
      <c r="AL95" s="77">
        <f t="shared" si="37"/>
        <v>0</v>
      </c>
      <c r="AP95" s="6">
        <f t="shared" si="40"/>
        <v>0</v>
      </c>
      <c r="AQ95" s="5">
        <f t="shared" si="41"/>
        <v>0</v>
      </c>
    </row>
    <row r="96" spans="1:43" ht="15" customHeight="1">
      <c r="A96" s="77" t="str">
        <f>IF(IFERROR(VLOOKUP(C96,Listas!AT:AV,3,FALSE),0)=1,IF(WEEKDAY(C96+1)=7,C96+2,C96+1),C96)</f>
        <v/>
      </c>
      <c r="B96" s="5">
        <v>55</v>
      </c>
      <c r="C96" s="80" t="str">
        <f>IF(B96&gt;$C$21,"",IF(Listas!$I$21=Listas!$I$17,IF(WEEKDAY(C95+$D$13)=1,C95+$D$13+1,C95+$D$13),IF(B96&lt;=$C$21,IF((DATE(YEAR(C95),MONTH(C95)+1,DAY($C$14))-C95)&gt;=27,IF(WEEKDAY(DATE(YEAR(C95),MONTH(C95)+1,DAY($C$14)))=1,DATE(YEAR(C95),MONTH(C95)+1,DAY($C$14)+1),DATE(YEAR(C95),MONTH(C95)+1,DAY($C$14))),DATE(YEAR(C95),MONTH(C95)+2,DAY($C$14))),"")))</f>
        <v/>
      </c>
      <c r="D96" s="6" t="str">
        <f t="shared" si="15"/>
        <v/>
      </c>
      <c r="E96" s="4" t="str">
        <f t="shared" si="3"/>
        <v/>
      </c>
      <c r="F96" s="4">
        <f>IF($C$23=0,0,IF(OR(Listas!$K$6=Listas!$L$3,Listas!$K$6=Listas!$L$4),0,IF($C$23="",0,IF(Listas!$D$5=Listas!$C$3,ROUND(IF(B96&lt;=$C$21,IF(ROUND((D95/$T$120)*$C$23*Q96,2)&lt;(1/$T$120),ROUND((1/$T$120),2),ROUND((D95/$T$120)*$C$23,2)*Q96),0),2),IF(Listas!$D$5=Listas!$C$2,ROUND(IF(B96&lt;=$C$21,IF(ROUND(D95*$C$23*Q96,2)&lt;1,1,ROUND(D95*$C$23,2)*Q96),0),2))))))</f>
        <v>0</v>
      </c>
      <c r="G96" s="6" t="str">
        <f t="shared" si="25"/>
        <v/>
      </c>
      <c r="H96" s="6"/>
      <c r="I96" s="6">
        <f t="shared" si="26"/>
        <v>0</v>
      </c>
      <c r="J96" s="5">
        <f t="shared" si="4"/>
        <v>0</v>
      </c>
      <c r="K96" s="126">
        <f t="shared" si="18"/>
        <v>0</v>
      </c>
      <c r="L96" s="5">
        <f t="shared" si="5"/>
        <v>0</v>
      </c>
      <c r="M96" s="5">
        <f t="shared" si="30"/>
        <v>0</v>
      </c>
      <c r="N96" s="5">
        <f t="shared" si="20"/>
        <v>0</v>
      </c>
      <c r="O96" s="81">
        <f t="shared" si="27"/>
        <v>0</v>
      </c>
      <c r="P96" s="81">
        <f t="shared" si="22"/>
        <v>0</v>
      </c>
      <c r="Q96" s="82">
        <f>IF(Listas!$H$21=Listas!$I$15,1,IF(B96&lt;=$C$21,ROUND((EOMONTH(A96,0)-EOMONTH(A95,0))/30,0),0))</f>
        <v>0</v>
      </c>
      <c r="R96" s="138"/>
      <c r="S96" s="179" t="str">
        <f t="shared" si="34"/>
        <v/>
      </c>
      <c r="T96" s="179"/>
      <c r="U96" s="140" t="str">
        <f t="shared" si="35"/>
        <v/>
      </c>
      <c r="V96" s="141" t="str">
        <f t="shared" si="36"/>
        <v/>
      </c>
      <c r="W96" s="141" t="str">
        <f>IF(U95="","",IF(U96="",SUM($W$42:W95),IF(U96=$C$21,V95,Z96-X96-Y96)))</f>
        <v/>
      </c>
      <c r="X96" s="142" t="str">
        <f>IF(U95="","",IF(U96="",SUM($X$42:X95),ROUND(((1+$C$24)^(AG96/30)-1)*V95,2)))</f>
        <v/>
      </c>
      <c r="Y96" s="142">
        <f>IF($C$23=0,0,IF(OR(Listas!$K$6=Listas!$L$3,Listas!$K$6=Listas!$L$4),0,IF($C$23="",0,IF(Listas!$D$5=Listas!$C$3,ROUND(IF(U96&lt;=$C$21,IF(ROUND((V95/$T$120)*$C$23*AI96,2)&lt;(1/$T$120),ROUND((1/$T$120),2),ROUND((V95/$T$120)*$C$23,2)*AI96),0),2),IF(Listas!$D$5=Listas!$C$2,ROUND(IF(U96&lt;=$C$21,IF(ROUND(V95*$C$23*AI96,2)&lt;1,1,ROUND(V95*$C$23,2)*AI96),0),2))))))</f>
        <v>0</v>
      </c>
      <c r="Z96" s="141" t="str">
        <f>IF(U95="","",IF(U96="",SUM($Z$42:Z95),IF(U96=$C$21,SUM(W96,X96,Y96,AQ96),IF(U96&lt;$C$21,$C$34,0))))</f>
        <v/>
      </c>
      <c r="AA96" s="141" t="str">
        <f>IF(U95="","",IF(U96="",SUM($AA$42:AA95),IF(U96&lt;=$C$21,$C$17,0)))</f>
        <v/>
      </c>
      <c r="AB96" s="141">
        <f t="shared" si="38"/>
        <v>0</v>
      </c>
      <c r="AC96" s="109"/>
      <c r="AD96" s="139" t="str">
        <f t="shared" si="42"/>
        <v/>
      </c>
      <c r="AE96" s="40">
        <f t="shared" si="43"/>
        <v>0</v>
      </c>
      <c r="AG96" s="5">
        <f t="shared" si="39"/>
        <v>0</v>
      </c>
      <c r="AH96" s="5">
        <f t="shared" si="12"/>
        <v>0</v>
      </c>
      <c r="AI96" s="82">
        <f>IF(Listas!$H$21=Listas!$I$17,1,IF(U96&lt;=$C$21,ROUND((EOMONTH(S96,0)-EOMONTH(S95,0))/30,0),0))</f>
        <v>0</v>
      </c>
      <c r="AL96" s="77">
        <f t="shared" si="37"/>
        <v>0</v>
      </c>
      <c r="AP96" s="6">
        <f t="shared" si="40"/>
        <v>0</v>
      </c>
      <c r="AQ96" s="5">
        <f t="shared" si="41"/>
        <v>0</v>
      </c>
    </row>
    <row r="97" spans="1:43" ht="15" customHeight="1">
      <c r="A97" s="77" t="str">
        <f>IF(IFERROR(VLOOKUP(C97,Listas!AT:AV,3,FALSE),0)=1,IF(WEEKDAY(C97+1)=7,C97+2,C97+1),C97)</f>
        <v/>
      </c>
      <c r="B97" s="5">
        <v>56</v>
      </c>
      <c r="C97" s="80" t="str">
        <f>IF(B97&gt;$C$21,"",IF(Listas!$I$21=Listas!$I$17,IF(WEEKDAY(C96+$D$13)=1,C96+$D$13+1,C96+$D$13),IF(B97&lt;=$C$21,IF((DATE(YEAR(C96),MONTH(C96)+1,DAY($C$14))-C96)&gt;=27,IF(WEEKDAY(DATE(YEAR(C96),MONTH(C96)+1,DAY($C$14)))=1,DATE(YEAR(C96),MONTH(C96)+1,DAY($C$14)+1),DATE(YEAR(C96),MONTH(C96)+1,DAY($C$14))),DATE(YEAR(C96),MONTH(C96)+2,DAY($C$14))),"")))</f>
        <v/>
      </c>
      <c r="D97" s="6" t="str">
        <f t="shared" si="15"/>
        <v/>
      </c>
      <c r="E97" s="4" t="str">
        <f t="shared" si="3"/>
        <v/>
      </c>
      <c r="F97" s="4">
        <f>IF($C$23=0,0,IF(OR(Listas!$K$6=Listas!$L$3,Listas!$K$6=Listas!$L$4),0,IF($C$23="",0,IF(Listas!$D$5=Listas!$C$3,ROUND(IF(B97&lt;=$C$21,IF(ROUND((D96/$T$120)*$C$23*Q97,2)&lt;(1/$T$120),ROUND((1/$T$120),2),ROUND((D96/$T$120)*$C$23,2)*Q97),0),2),IF(Listas!$D$5=Listas!$C$2,ROUND(IF(B97&lt;=$C$21,IF(ROUND(D96*$C$23*Q97,2)&lt;1,1,ROUND(D96*$C$23,2)*Q97),0),2))))))</f>
        <v>0</v>
      </c>
      <c r="G97" s="6" t="str">
        <f t="shared" si="25"/>
        <v/>
      </c>
      <c r="H97" s="6"/>
      <c r="I97" s="6">
        <f t="shared" si="26"/>
        <v>0</v>
      </c>
      <c r="J97" s="5">
        <f t="shared" si="4"/>
        <v>0</v>
      </c>
      <c r="K97" s="126">
        <f t="shared" si="18"/>
        <v>0</v>
      </c>
      <c r="L97" s="5">
        <f t="shared" si="5"/>
        <v>0</v>
      </c>
      <c r="M97" s="5">
        <f t="shared" si="30"/>
        <v>0</v>
      </c>
      <c r="N97" s="5">
        <f t="shared" si="20"/>
        <v>0</v>
      </c>
      <c r="O97" s="81">
        <f t="shared" si="27"/>
        <v>0</v>
      </c>
      <c r="P97" s="81">
        <f t="shared" si="22"/>
        <v>0</v>
      </c>
      <c r="Q97" s="82">
        <f>IF(Listas!$H$21=Listas!$I$15,1,IF(B97&lt;=$C$21,ROUND((EOMONTH(A97,0)-EOMONTH(A96,0))/30,0),0))</f>
        <v>0</v>
      </c>
      <c r="R97" s="138"/>
      <c r="S97" s="179" t="str">
        <f t="shared" si="34"/>
        <v/>
      </c>
      <c r="T97" s="179"/>
      <c r="U97" s="140" t="str">
        <f t="shared" si="35"/>
        <v/>
      </c>
      <c r="V97" s="141" t="str">
        <f t="shared" si="36"/>
        <v/>
      </c>
      <c r="W97" s="141" t="str">
        <f>IF(U96="","",IF(U97="",SUM($W$42:W96),IF(U97=$C$21,V96,Z97-X97-Y97)))</f>
        <v/>
      </c>
      <c r="X97" s="142" t="str">
        <f>IF(U96="","",IF(U97="",SUM($X$42:X96),ROUND(((1+$C$24)^(AG97/30)-1)*V96,2)))</f>
        <v/>
      </c>
      <c r="Y97" s="142">
        <f>IF($C$23=0,0,IF(OR(Listas!$K$6=Listas!$L$3,Listas!$K$6=Listas!$L$4),0,IF($C$23="",0,IF(Listas!$D$5=Listas!$C$3,ROUND(IF(U97&lt;=$C$21,IF(ROUND((V96/$T$120)*$C$23*AI97,2)&lt;(1/$T$120),ROUND((1/$T$120),2),ROUND((V96/$T$120)*$C$23,2)*AI97),0),2),IF(Listas!$D$5=Listas!$C$2,ROUND(IF(U97&lt;=$C$21,IF(ROUND(V96*$C$23*AI97,2)&lt;1,1,ROUND(V96*$C$23,2)*AI97),0),2))))))</f>
        <v>0</v>
      </c>
      <c r="Z97" s="141" t="str">
        <f>IF(U96="","",IF(U97="",SUM($Z$42:Z96),IF(U97=$C$21,SUM(W97,X97,Y97,AQ97),IF(U97&lt;$C$21,$C$34,0))))</f>
        <v/>
      </c>
      <c r="AA97" s="141" t="str">
        <f>IF(U96="","",IF(U97="",SUM($AA$42:AA96),IF(U97&lt;=$C$21,$C$17,0)))</f>
        <v/>
      </c>
      <c r="AB97" s="141">
        <f t="shared" si="38"/>
        <v>0</v>
      </c>
      <c r="AC97" s="109"/>
      <c r="AD97" s="139" t="str">
        <f t="shared" si="42"/>
        <v/>
      </c>
      <c r="AE97" s="40">
        <f t="shared" si="43"/>
        <v>0</v>
      </c>
      <c r="AG97" s="5">
        <f t="shared" si="39"/>
        <v>0</v>
      </c>
      <c r="AH97" s="5">
        <f t="shared" si="12"/>
        <v>0</v>
      </c>
      <c r="AI97" s="82">
        <f>IF(Listas!$H$21=Listas!$I$17,1,IF(U97&lt;=$C$21,ROUND((EOMONTH(S97,0)-EOMONTH(S96,0))/30,0),0))</f>
        <v>0</v>
      </c>
      <c r="AL97" s="77">
        <f t="shared" si="37"/>
        <v>0</v>
      </c>
      <c r="AP97" s="6">
        <f t="shared" si="40"/>
        <v>0</v>
      </c>
      <c r="AQ97" s="5">
        <f t="shared" si="41"/>
        <v>0</v>
      </c>
    </row>
    <row r="98" spans="1:43" ht="15" customHeight="1">
      <c r="A98" s="77" t="str">
        <f>IF(IFERROR(VLOOKUP(C98,Listas!AT:AV,3,FALSE),0)=1,IF(WEEKDAY(C98+1)=7,C98+2,C98+1),C98)</f>
        <v/>
      </c>
      <c r="B98" s="5">
        <v>57</v>
      </c>
      <c r="C98" s="80" t="str">
        <f>IF(B98&gt;$C$21,"",IF(Listas!$I$21=Listas!$I$17,IF(WEEKDAY(C97+$D$13)=1,C97+$D$13+1,C97+$D$13),IF(B98&lt;=$C$21,IF((DATE(YEAR(C97),MONTH(C97)+1,DAY($C$14))-C97)&gt;=27,IF(WEEKDAY(DATE(YEAR(C97),MONTH(C97)+1,DAY($C$14)))=1,DATE(YEAR(C97),MONTH(C97)+1,DAY($C$14)+1),DATE(YEAR(C97),MONTH(C97)+1,DAY($C$14))),DATE(YEAR(C97),MONTH(C97)+2,DAY($C$14))),"")))</f>
        <v/>
      </c>
      <c r="D98" s="6" t="str">
        <f t="shared" si="15"/>
        <v/>
      </c>
      <c r="E98" s="4" t="str">
        <f t="shared" si="3"/>
        <v/>
      </c>
      <c r="F98" s="4">
        <f>IF($C$23=0,0,IF(OR(Listas!$K$6=Listas!$L$3,Listas!$K$6=Listas!$L$4),0,IF($C$23="",0,IF(Listas!$D$5=Listas!$C$3,ROUND(IF(B98&lt;=$C$21,IF(ROUND((D97/$T$120)*$C$23*Q98,2)&lt;(1/$T$120),ROUND((1/$T$120),2),ROUND((D97/$T$120)*$C$23,2)*Q98),0),2),IF(Listas!$D$5=Listas!$C$2,ROUND(IF(B98&lt;=$C$21,IF(ROUND(D97*$C$23*Q98,2)&lt;1,1,ROUND(D97*$C$23,2)*Q98),0),2))))))</f>
        <v>0</v>
      </c>
      <c r="G98" s="6" t="str">
        <f t="shared" si="25"/>
        <v/>
      </c>
      <c r="H98" s="6"/>
      <c r="I98" s="6">
        <f t="shared" si="26"/>
        <v>0</v>
      </c>
      <c r="J98" s="5">
        <f t="shared" si="4"/>
        <v>0</v>
      </c>
      <c r="K98" s="126">
        <f t="shared" si="18"/>
        <v>0</v>
      </c>
      <c r="L98" s="5">
        <f t="shared" si="5"/>
        <v>0</v>
      </c>
      <c r="M98" s="5">
        <f t="shared" si="30"/>
        <v>0</v>
      </c>
      <c r="N98" s="5">
        <f t="shared" si="20"/>
        <v>0</v>
      </c>
      <c r="O98" s="81">
        <f t="shared" si="27"/>
        <v>0</v>
      </c>
      <c r="P98" s="81">
        <f t="shared" si="22"/>
        <v>0</v>
      </c>
      <c r="Q98" s="82">
        <f>IF(Listas!$H$21=Listas!$I$15,1,IF(B98&lt;=$C$21,ROUND((EOMONTH(A98,0)-EOMONTH(A97,0))/30,0),0))</f>
        <v>0</v>
      </c>
      <c r="R98" s="138"/>
      <c r="S98" s="179" t="str">
        <f t="shared" si="34"/>
        <v/>
      </c>
      <c r="T98" s="179"/>
      <c r="U98" s="140" t="str">
        <f t="shared" si="35"/>
        <v/>
      </c>
      <c r="V98" s="141" t="str">
        <f t="shared" si="36"/>
        <v/>
      </c>
      <c r="W98" s="141" t="str">
        <f>IF(U97="","",IF(U98="",SUM($W$42:W97),IF(U98=$C$21,V97,Z98-X98-Y98)))</f>
        <v/>
      </c>
      <c r="X98" s="142" t="str">
        <f>IF(U97="","",IF(U98="",SUM($X$42:X97),ROUND(((1+$C$24)^(AG98/30)-1)*V97,2)))</f>
        <v/>
      </c>
      <c r="Y98" s="142">
        <f>IF($C$23=0,0,IF(OR(Listas!$K$6=Listas!$L$3,Listas!$K$6=Listas!$L$4),0,IF($C$23="",0,IF(Listas!$D$5=Listas!$C$3,ROUND(IF(U98&lt;=$C$21,IF(ROUND((V97/$T$120)*$C$23*AI98,2)&lt;(1/$T$120),ROUND((1/$T$120),2),ROUND((V97/$T$120)*$C$23,2)*AI98),0),2),IF(Listas!$D$5=Listas!$C$2,ROUND(IF(U98&lt;=$C$21,IF(ROUND(V97*$C$23*AI98,2)&lt;1,1,ROUND(V97*$C$23,2)*AI98),0),2))))))</f>
        <v>0</v>
      </c>
      <c r="Z98" s="141" t="str">
        <f>IF(U97="","",IF(U98="",SUM($Z$42:Z97),IF(U98=$C$21,SUM(W98,X98,Y98,AQ98),IF(U98&lt;$C$21,$C$34,0))))</f>
        <v/>
      </c>
      <c r="AA98" s="141" t="str">
        <f>IF(U97="","",IF(U98="",SUM($AA$42:AA97),IF(U98&lt;=$C$21,$C$17,0)))</f>
        <v/>
      </c>
      <c r="AB98" s="141">
        <f t="shared" si="38"/>
        <v>0</v>
      </c>
      <c r="AC98" s="109"/>
      <c r="AD98" s="139" t="str">
        <f t="shared" si="42"/>
        <v/>
      </c>
      <c r="AE98" s="40">
        <f t="shared" si="43"/>
        <v>0</v>
      </c>
      <c r="AG98" s="5">
        <f t="shared" si="39"/>
        <v>0</v>
      </c>
      <c r="AH98" s="5">
        <f t="shared" si="12"/>
        <v>0</v>
      </c>
      <c r="AI98" s="82">
        <f>IF(Listas!$H$21=Listas!$I$17,1,IF(U98&lt;=$C$21,ROUND((EOMONTH(S98,0)-EOMONTH(S97,0))/30,0),0))</f>
        <v>0</v>
      </c>
      <c r="AL98" s="77">
        <f t="shared" si="37"/>
        <v>0</v>
      </c>
      <c r="AP98" s="6">
        <f t="shared" si="40"/>
        <v>0</v>
      </c>
      <c r="AQ98" s="5">
        <f t="shared" si="41"/>
        <v>0</v>
      </c>
    </row>
    <row r="99" spans="1:43" ht="15" customHeight="1">
      <c r="A99" s="77" t="str">
        <f>IF(IFERROR(VLOOKUP(C99,Listas!AT:AV,3,FALSE),0)=1,IF(WEEKDAY(C99+1)=7,C99+2,C99+1),C99)</f>
        <v/>
      </c>
      <c r="B99" s="5">
        <v>58</v>
      </c>
      <c r="C99" s="80" t="str">
        <f>IF(B99&gt;$C$21,"",IF(Listas!$I$21=Listas!$I$17,IF(WEEKDAY(C98+$D$13)=1,C98+$D$13+1,C98+$D$13),IF(B99&lt;=$C$21,IF((DATE(YEAR(C98),MONTH(C98)+1,DAY($C$14))-C98)&gt;=27,IF(WEEKDAY(DATE(YEAR(C98),MONTH(C98)+1,DAY($C$14)))=1,DATE(YEAR(C98),MONTH(C98)+1,DAY($C$14)+1),DATE(YEAR(C98),MONTH(C98)+1,DAY($C$14))),DATE(YEAR(C98),MONTH(C98)+2,DAY($C$14))),"")))</f>
        <v/>
      </c>
      <c r="D99" s="6" t="str">
        <f t="shared" si="15"/>
        <v/>
      </c>
      <c r="E99" s="4" t="str">
        <f t="shared" si="3"/>
        <v/>
      </c>
      <c r="F99" s="4">
        <f>IF($C$23=0,0,IF(OR(Listas!$K$6=Listas!$L$3,Listas!$K$6=Listas!$L$4),0,IF($C$23="",0,IF(Listas!$D$5=Listas!$C$3,ROUND(IF(B99&lt;=$C$21,IF(ROUND((D98/$T$120)*$C$23*Q99,2)&lt;(1/$T$120),ROUND((1/$T$120),2),ROUND((D98/$T$120)*$C$23,2)*Q99),0),2),IF(Listas!$D$5=Listas!$C$2,ROUND(IF(B99&lt;=$C$21,IF(ROUND(D98*$C$23*Q99,2)&lt;1,1,ROUND(D98*$C$23,2)*Q99),0),2))))))</f>
        <v>0</v>
      </c>
      <c r="G99" s="6" t="str">
        <f t="shared" si="25"/>
        <v/>
      </c>
      <c r="H99" s="6"/>
      <c r="I99" s="6">
        <f t="shared" si="26"/>
        <v>0</v>
      </c>
      <c r="J99" s="5">
        <f t="shared" si="4"/>
        <v>0</v>
      </c>
      <c r="K99" s="126">
        <f t="shared" si="18"/>
        <v>0</v>
      </c>
      <c r="L99" s="5">
        <f t="shared" si="5"/>
        <v>0</v>
      </c>
      <c r="M99" s="5">
        <f t="shared" si="30"/>
        <v>0</v>
      </c>
      <c r="N99" s="5">
        <f t="shared" si="20"/>
        <v>0</v>
      </c>
      <c r="O99" s="81">
        <f t="shared" si="27"/>
        <v>0</v>
      </c>
      <c r="P99" s="81">
        <f t="shared" si="22"/>
        <v>0</v>
      </c>
      <c r="Q99" s="82">
        <f>IF(Listas!$H$21=Listas!$I$15,1,IF(B99&lt;=$C$21,ROUND((EOMONTH(A99,0)-EOMONTH(A98,0))/30,0),0))</f>
        <v>0</v>
      </c>
      <c r="R99" s="138"/>
      <c r="S99" s="179" t="str">
        <f t="shared" si="34"/>
        <v/>
      </c>
      <c r="T99" s="179"/>
      <c r="U99" s="140" t="str">
        <f t="shared" si="35"/>
        <v/>
      </c>
      <c r="V99" s="141" t="str">
        <f t="shared" si="36"/>
        <v/>
      </c>
      <c r="W99" s="141" t="str">
        <f>IF(U98="","",IF(U99="",SUM($W$42:W98),IF(U99=$C$21,V98,Z99-X99-Y99)))</f>
        <v/>
      </c>
      <c r="X99" s="142" t="str">
        <f>IF(U98="","",IF(U99="",SUM($X$42:X98),ROUND(((1+$C$24)^(AG99/30)-1)*V98,2)))</f>
        <v/>
      </c>
      <c r="Y99" s="142">
        <f>IF($C$23=0,0,IF(OR(Listas!$K$6=Listas!$L$3,Listas!$K$6=Listas!$L$4),0,IF($C$23="",0,IF(Listas!$D$5=Listas!$C$3,ROUND(IF(U99&lt;=$C$21,IF(ROUND((V98/$T$120)*$C$23*AI99,2)&lt;(1/$T$120),ROUND((1/$T$120),2),ROUND((V98/$T$120)*$C$23,2)*AI99),0),2),IF(Listas!$D$5=Listas!$C$2,ROUND(IF(U99&lt;=$C$21,IF(ROUND(V98*$C$23*AI99,2)&lt;1,1,ROUND(V98*$C$23,2)*AI99),0),2))))))</f>
        <v>0</v>
      </c>
      <c r="Z99" s="141" t="str">
        <f>IF(U98="","",IF(U99="",SUM($Z$42:Z98),IF(U99=$C$21,SUM(W99,X99,Y99,AQ99),IF(U99&lt;$C$21,$C$34,0))))</f>
        <v/>
      </c>
      <c r="AA99" s="141" t="str">
        <f>IF(U98="","",IF(U99="",SUM($AA$42:AA98),IF(U99&lt;=$C$21,$C$17,0)))</f>
        <v/>
      </c>
      <c r="AB99" s="141">
        <f t="shared" si="38"/>
        <v>0</v>
      </c>
      <c r="AC99" s="109"/>
      <c r="AD99" s="139" t="str">
        <f t="shared" si="42"/>
        <v/>
      </c>
      <c r="AE99" s="40">
        <f t="shared" si="43"/>
        <v>0</v>
      </c>
      <c r="AG99" s="5">
        <f t="shared" si="39"/>
        <v>0</v>
      </c>
      <c r="AH99" s="5">
        <f t="shared" si="12"/>
        <v>0</v>
      </c>
      <c r="AI99" s="82">
        <f>IF(Listas!$H$21=Listas!$I$17,1,IF(U99&lt;=$C$21,ROUND((EOMONTH(S99,0)-EOMONTH(S98,0))/30,0),0))</f>
        <v>0</v>
      </c>
      <c r="AL99" s="77">
        <f t="shared" si="37"/>
        <v>0</v>
      </c>
      <c r="AP99" s="6">
        <f t="shared" si="40"/>
        <v>0</v>
      </c>
      <c r="AQ99" s="5">
        <f t="shared" si="41"/>
        <v>0</v>
      </c>
    </row>
    <row r="100" spans="1:43" ht="15" customHeight="1">
      <c r="A100" s="77" t="str">
        <f>IF(IFERROR(VLOOKUP(C100,Listas!AT:AV,3,FALSE),0)=1,IF(WEEKDAY(C100+1)=7,C100+2,C100+1),C100)</f>
        <v/>
      </c>
      <c r="B100" s="5">
        <v>59</v>
      </c>
      <c r="C100" s="80" t="str">
        <f>IF(B100&gt;$C$21,"",IF(Listas!$I$21=Listas!$I$17,IF(WEEKDAY(C99+$D$13)=1,C99+$D$13+1,C99+$D$13),IF(B100&lt;=$C$21,IF((DATE(YEAR(C99),MONTH(C99)+1,DAY($C$14))-C99)&gt;=27,IF(WEEKDAY(DATE(YEAR(C99),MONTH(C99)+1,DAY($C$14)))=1,DATE(YEAR(C99),MONTH(C99)+1,DAY($C$14)+1),DATE(YEAR(C99),MONTH(C99)+1,DAY($C$14))),DATE(YEAR(C99),MONTH(C99)+2,DAY($C$14))),"")))</f>
        <v/>
      </c>
      <c r="D100" s="6" t="str">
        <f t="shared" si="15"/>
        <v/>
      </c>
      <c r="E100" s="4" t="str">
        <f t="shared" si="3"/>
        <v/>
      </c>
      <c r="F100" s="4">
        <f>IF($C$23=0,0,IF(OR(Listas!$K$6=Listas!$L$3,Listas!$K$6=Listas!$L$4),0,IF($C$23="",0,IF(Listas!$D$5=Listas!$C$3,ROUND(IF(B100&lt;=$C$21,IF(ROUND((D99/$T$120)*$C$23*Q100,2)&lt;(1/$T$120),ROUND((1/$T$120),2),ROUND((D99/$T$120)*$C$23,2)*Q100),0),2),IF(Listas!$D$5=Listas!$C$2,ROUND(IF(B100&lt;=$C$21,IF(ROUND(D99*$C$23*Q100,2)&lt;1,1,ROUND(D99*$C$23,2)*Q100),0),2))))))</f>
        <v>0</v>
      </c>
      <c r="G100" s="6" t="str">
        <f t="shared" si="25"/>
        <v/>
      </c>
      <c r="H100" s="6"/>
      <c r="I100" s="6">
        <f t="shared" si="26"/>
        <v>0</v>
      </c>
      <c r="J100" s="5">
        <f t="shared" si="4"/>
        <v>0</v>
      </c>
      <c r="K100" s="126">
        <f t="shared" si="18"/>
        <v>0</v>
      </c>
      <c r="L100" s="5">
        <f t="shared" si="5"/>
        <v>0</v>
      </c>
      <c r="M100" s="5">
        <f t="shared" si="30"/>
        <v>0</v>
      </c>
      <c r="N100" s="5">
        <f t="shared" si="20"/>
        <v>0</v>
      </c>
      <c r="O100" s="81">
        <f t="shared" si="27"/>
        <v>0</v>
      </c>
      <c r="P100" s="81">
        <f t="shared" si="22"/>
        <v>0</v>
      </c>
      <c r="Q100" s="82">
        <f>IF(Listas!$H$21=Listas!$I$15,1,IF(B100&lt;=$C$21,ROUND((EOMONTH(A100,0)-EOMONTH(A99,0))/30,0),0))</f>
        <v>0</v>
      </c>
      <c r="R100" s="138"/>
      <c r="S100" s="179" t="str">
        <f t="shared" si="34"/>
        <v/>
      </c>
      <c r="T100" s="179"/>
      <c r="U100" s="140" t="str">
        <f t="shared" si="35"/>
        <v/>
      </c>
      <c r="V100" s="141" t="str">
        <f t="shared" si="36"/>
        <v/>
      </c>
      <c r="W100" s="141" t="str">
        <f>IF(U99="","",IF(U100="",SUM($W$42:W99),IF(U100=$C$21,V99,Z100-X100-Y100)))</f>
        <v/>
      </c>
      <c r="X100" s="142" t="str">
        <f>IF(U99="","",IF(U100="",SUM($X$42:X99),ROUND(((1+$C$24)^(AG100/30)-1)*V99,2)))</f>
        <v/>
      </c>
      <c r="Y100" s="142">
        <f>IF($C$23=0,0,IF(OR(Listas!$K$6=Listas!$L$3,Listas!$K$6=Listas!$L$4),0,IF($C$23="",0,IF(Listas!$D$5=Listas!$C$3,ROUND(IF(U100&lt;=$C$21,IF(ROUND((V99/$T$120)*$C$23*AI100,2)&lt;(1/$T$120),ROUND((1/$T$120),2),ROUND((V99/$T$120)*$C$23,2)*AI100),0),2),IF(Listas!$D$5=Listas!$C$2,ROUND(IF(U100&lt;=$C$21,IF(ROUND(V99*$C$23*AI100,2)&lt;1,1,ROUND(V99*$C$23,2)*AI100),0),2))))))</f>
        <v>0</v>
      </c>
      <c r="Z100" s="141" t="str">
        <f>IF(U99="","",IF(U100="",SUM($Z$42:Z99),IF(U100=$C$21,SUM(W100,X100,Y100,AQ100),IF(U100&lt;$C$21,$C$34,0))))</f>
        <v/>
      </c>
      <c r="AA100" s="141" t="str">
        <f>IF(U99="","",IF(U100="",SUM($AA$42:AA99),IF(U100&lt;=$C$21,$C$17,0)))</f>
        <v/>
      </c>
      <c r="AB100" s="141">
        <f t="shared" si="38"/>
        <v>0</v>
      </c>
      <c r="AC100" s="109"/>
      <c r="AD100" s="139" t="str">
        <f t="shared" si="42"/>
        <v/>
      </c>
      <c r="AE100" s="40">
        <f t="shared" si="43"/>
        <v>0</v>
      </c>
      <c r="AG100" s="5">
        <f t="shared" si="39"/>
        <v>0</v>
      </c>
      <c r="AH100" s="5">
        <f t="shared" si="12"/>
        <v>0</v>
      </c>
      <c r="AI100" s="82">
        <f>IF(Listas!$H$21=Listas!$I$17,1,IF(U100&lt;=$C$21,ROUND((EOMONTH(S100,0)-EOMONTH(S99,0))/30,0),0))</f>
        <v>0</v>
      </c>
      <c r="AL100" s="77">
        <f t="shared" si="37"/>
        <v>0</v>
      </c>
      <c r="AP100" s="6">
        <f t="shared" si="40"/>
        <v>0</v>
      </c>
      <c r="AQ100" s="5">
        <f t="shared" si="41"/>
        <v>0</v>
      </c>
    </row>
    <row r="101" spans="1:43" ht="15" customHeight="1">
      <c r="A101" s="77" t="str">
        <f>IF(IFERROR(VLOOKUP(C101,Listas!AT:AV,3,FALSE),0)=1,IF(WEEKDAY(C101+1)=7,C101+2,C101+1),C101)</f>
        <v/>
      </c>
      <c r="B101" s="5">
        <v>60</v>
      </c>
      <c r="C101" s="80" t="str">
        <f>IF(B101&gt;$C$21,"",IF(Listas!$I$21=Listas!$I$17,IF(WEEKDAY(C100+$D$13)=1,C100+$D$13+1,C100+$D$13),IF(B101&lt;=$C$21,IF((DATE(YEAR(C100),MONTH(C100)+1,DAY($C$14))-C100)&gt;=27,IF(WEEKDAY(DATE(YEAR(C100),MONTH(C100)+1,DAY($C$14)))=1,DATE(YEAR(C100),MONTH(C100)+1,DAY($C$14)+1),DATE(YEAR(C100),MONTH(C100)+1,DAY($C$14))),DATE(YEAR(C100),MONTH(C100)+2,DAY($C$14))),"")))</f>
        <v/>
      </c>
      <c r="D101" s="6" t="str">
        <f t="shared" si="15"/>
        <v/>
      </c>
      <c r="E101" s="4" t="str">
        <f t="shared" si="3"/>
        <v/>
      </c>
      <c r="F101" s="4">
        <f>IF($C$23=0,0,IF(OR(Listas!$K$6=Listas!$L$3,Listas!$K$6=Listas!$L$4),0,IF($C$23="",0,IF(Listas!$D$5=Listas!$C$3,ROUND(IF(B101&lt;=$C$21,IF(ROUND((D100/$T$120)*$C$23*Q101,2)&lt;(1/$T$120),ROUND((1/$T$120),2),ROUND((D100/$T$120)*$C$23,2)*Q101),0),2),IF(Listas!$D$5=Listas!$C$2,ROUND(IF(B101&lt;=$C$21,IF(ROUND(D100*$C$23*Q101,2)&lt;1,1,ROUND(D100*$C$23,2)*Q101),0),2))))))</f>
        <v>0</v>
      </c>
      <c r="G101" s="6" t="str">
        <f t="shared" si="25"/>
        <v/>
      </c>
      <c r="H101" s="6"/>
      <c r="I101" s="6">
        <f t="shared" si="26"/>
        <v>0</v>
      </c>
      <c r="J101" s="5">
        <f t="shared" si="4"/>
        <v>0</v>
      </c>
      <c r="K101" s="126">
        <f t="shared" si="18"/>
        <v>0</v>
      </c>
      <c r="L101" s="5">
        <f t="shared" si="5"/>
        <v>0</v>
      </c>
      <c r="M101" s="5">
        <f t="shared" si="30"/>
        <v>0</v>
      </c>
      <c r="N101" s="5">
        <f t="shared" si="20"/>
        <v>0</v>
      </c>
      <c r="O101" s="81">
        <f t="shared" si="27"/>
        <v>0</v>
      </c>
      <c r="P101" s="81">
        <f t="shared" si="22"/>
        <v>0</v>
      </c>
      <c r="Q101" s="82">
        <f>IF(Listas!$H$21=Listas!$I$15,1,IF(B101&lt;=$C$21,ROUND((EOMONTH(A101,0)-EOMONTH(A100,0))/30,0),0))</f>
        <v>0</v>
      </c>
      <c r="R101" s="138"/>
      <c r="S101" s="179" t="str">
        <f t="shared" si="34"/>
        <v/>
      </c>
      <c r="T101" s="179"/>
      <c r="U101" s="140" t="str">
        <f t="shared" si="35"/>
        <v/>
      </c>
      <c r="V101" s="141" t="str">
        <f t="shared" si="36"/>
        <v/>
      </c>
      <c r="W101" s="141" t="str">
        <f>IF(U100="","",IF(U101="",SUM($W$42:W100),IF(U101=$C$21,V100,Z101-X101-Y101)))</f>
        <v/>
      </c>
      <c r="X101" s="142" t="str">
        <f>IF(U100="","",IF(U101="",SUM($X$42:X100),ROUND(((1+$C$24)^(AG101/30)-1)*V100,2)))</f>
        <v/>
      </c>
      <c r="Y101" s="142">
        <f>IF($C$23=0,0,IF(OR(Listas!$K$6=Listas!$L$3,Listas!$K$6=Listas!$L$4),0,IF($C$23="",0,IF(Listas!$D$5=Listas!$C$3,ROUND(IF(U101&lt;=$C$21,IF(ROUND((V100/$T$120)*$C$23*AI101,2)&lt;(1/$T$120),ROUND((1/$T$120),2),ROUND((V100/$T$120)*$C$23,2)*AI101),0),2),IF(Listas!$D$5=Listas!$C$2,ROUND(IF(U101&lt;=$C$21,IF(ROUND(V100*$C$23*AI101,2)&lt;1,1,ROUND(V100*$C$23,2)*AI101),0),2))))))</f>
        <v>0</v>
      </c>
      <c r="Z101" s="141" t="str">
        <f>IF(U100="","",IF(U101="",SUM($Z$42:Z100),IF(U101=$C$21,SUM(W101,X101,Y101,AQ101),IF(U101&lt;$C$21,$C$34,0))))</f>
        <v/>
      </c>
      <c r="AA101" s="141" t="str">
        <f>IF(U100="","",IF(U101="",SUM($AA$42:AA100),IF(U101&lt;=$C$21,$C$17,0)))</f>
        <v/>
      </c>
      <c r="AB101" s="141">
        <f t="shared" si="38"/>
        <v>0</v>
      </c>
      <c r="AC101" s="109"/>
      <c r="AD101" s="139" t="str">
        <f t="shared" si="42"/>
        <v/>
      </c>
      <c r="AE101" s="40">
        <f t="shared" si="43"/>
        <v>0</v>
      </c>
      <c r="AG101" s="5">
        <f t="shared" si="39"/>
        <v>0</v>
      </c>
      <c r="AH101" s="5">
        <f t="shared" si="12"/>
        <v>0</v>
      </c>
      <c r="AI101" s="82">
        <f>IF(Listas!$H$21=Listas!$I$17,1,IF(U101&lt;=$C$21,ROUND((EOMONTH(S101,0)-EOMONTH(S100,0))/30,0),0))</f>
        <v>0</v>
      </c>
      <c r="AL101" s="77">
        <f t="shared" si="37"/>
        <v>0</v>
      </c>
      <c r="AP101" s="6">
        <f t="shared" si="40"/>
        <v>0</v>
      </c>
      <c r="AQ101" s="5">
        <f t="shared" si="41"/>
        <v>0</v>
      </c>
    </row>
    <row r="102" spans="1:43">
      <c r="A102" s="77" t="str">
        <f>IF(IFERROR(VLOOKUP(C102,Listas!AT:AV,3,FALSE),0)=1,IF(WEEKDAY(C102+1)=7,C102+2,C102+1),C102)</f>
        <v/>
      </c>
      <c r="B102" s="5">
        <v>61</v>
      </c>
      <c r="C102" s="80" t="str">
        <f>IF(B102&gt;$C$21,"",IF(Listas!$I$21=Listas!$I$17,IF(WEEKDAY(C101+$D$13)=1,C101+$D$13+1,C101+$D$13),IF(B102&lt;=$C$21,IF((DATE(YEAR(C101),MONTH(C101)+1,DAY($C$14))-C101)&gt;=27,IF(WEEKDAY(DATE(YEAR(C101),MONTH(C101)+1,DAY($C$14)))=1,DATE(YEAR(C101),MONTH(C101)+1,DAY($C$14)+1),DATE(YEAR(C101),MONTH(C101)+1,DAY($C$14))),DATE(YEAR(C101),MONTH(C101)+2,DAY($C$14))),"")))</f>
        <v/>
      </c>
      <c r="D102" s="6" t="str">
        <f t="shared" ref="D102:D111" si="44">IF(B102&lt;=$C$21,D101-G102,"")</f>
        <v/>
      </c>
      <c r="E102" s="4" t="str">
        <f t="shared" ref="E102:E111" si="45">IFERROR(ROUND(((1+$C$24)^(L102/30)-1)*D101,2),"")</f>
        <v/>
      </c>
      <c r="F102" s="4">
        <f>IF($C$23=0,0,IF(OR(Listas!$K$6=Listas!$L$3,Listas!$K$6=Listas!$L$4),0,IF($C$23="",0,IF(Listas!$D$5=Listas!$C$3,ROUND(IF(B102&lt;=$C$21,IF(ROUND((D101/$T$120)*$C$23*Q102,2)&lt;(1/$T$120),ROUND((1/$T$120),2),ROUND((D101/$T$120)*$C$23,2)*Q102),0),2),IF(Listas!$D$5=Listas!$C$2,ROUND(IF(B102&lt;=$C$21,IF(ROUND(D101*$C$23*Q102,2)&lt;1,1,ROUND(D101*$C$23,2)*Q102),0),2))))))</f>
        <v>0</v>
      </c>
      <c r="G102" s="6" t="str">
        <f t="shared" ref="G102:G111" si="46">IF(B102&gt;$C$21,D101,I102-E102-F102-H102)</f>
        <v/>
      </c>
      <c r="H102" s="6"/>
      <c r="I102" s="6">
        <f t="shared" ref="I102:I111" si="47">IF(B102&lt;=$C$21,$C$32,0)</f>
        <v>0</v>
      </c>
      <c r="J102" s="5">
        <f t="shared" ref="J102:J111" si="48">IF(B102&lt;=$C$21,$C$15,0)</f>
        <v>0</v>
      </c>
      <c r="K102" s="126">
        <f t="shared" si="18"/>
        <v>0</v>
      </c>
      <c r="L102" s="5">
        <f t="shared" ref="L102:L111" si="49">IF(B102&lt;=$C$21,A102-A101,0)</f>
        <v>0</v>
      </c>
      <c r="M102" s="5">
        <f t="shared" si="30"/>
        <v>0</v>
      </c>
      <c r="N102" s="5">
        <f t="shared" si="20"/>
        <v>0</v>
      </c>
      <c r="O102" s="81">
        <f t="shared" ref="O102:O111" si="50">IF(B102&lt;=$C$21,ROUND((1+$C$25)^(N102/30),6),0)</f>
        <v>0</v>
      </c>
      <c r="P102" s="81">
        <f t="shared" si="22"/>
        <v>0</v>
      </c>
      <c r="Q102" s="82">
        <f>IF(Listas!$H$21=Listas!$I$15,1,IF(B102&lt;=$C$21,ROUND((EOMONTH(A102,0)-EOMONTH(A101,0))/30,0),0))</f>
        <v>0</v>
      </c>
      <c r="R102" s="138"/>
      <c r="S102" s="179" t="str">
        <f t="shared" si="34"/>
        <v/>
      </c>
      <c r="T102" s="179"/>
      <c r="U102" s="140" t="str">
        <f t="shared" si="35"/>
        <v/>
      </c>
      <c r="V102" s="141" t="str">
        <f t="shared" si="36"/>
        <v/>
      </c>
      <c r="W102" s="141" t="str">
        <f>IF(U101="","",IF(U102="",SUM($W$42:W101),IF(U102=$C$21,V101,Z102-X102-Y102)))</f>
        <v/>
      </c>
      <c r="X102" s="142" t="str">
        <f>IF(U101="","",IF(U102="",SUM($X$42:X101),ROUND(((1+$C$24)^(AG102/30)-1)*V101,2)))</f>
        <v/>
      </c>
      <c r="Y102" s="142">
        <f>IF($C$23=0,0,IF(OR(Listas!$K$6=Listas!$L$3,Listas!$K$6=Listas!$L$4),0,IF($C$23="",0,IF(Listas!$D$5=Listas!$C$3,ROUND(IF(U102&lt;=$C$21,IF(ROUND((V101/$T$120)*$C$23*AI102,2)&lt;(1/$T$120),ROUND((1/$T$120),2),ROUND((V101/$T$120)*$C$23,2)*AI102),0),2),IF(Listas!$D$5=Listas!$C$2,ROUND(IF(U102&lt;=$C$21,IF(ROUND(V101*$C$23*AI102,2)&lt;1,1,ROUND(V101*$C$23,2)*AI102),0),2))))))</f>
        <v>0</v>
      </c>
      <c r="Z102" s="141" t="str">
        <f>IF(U101="","",IF(U102="",SUM($Z$42:Z101),IF(U102=$C$21,SUM(W102,X102,Y102,AQ102),IF(U102&lt;$C$21,$C$34,0))))</f>
        <v/>
      </c>
      <c r="AA102" s="141" t="str">
        <f>IF(U101="","",IF(U102="",SUM($AA$42:AA101),IF(U102&lt;=$C$21,$C$17,0)))</f>
        <v/>
      </c>
      <c r="AB102" s="141">
        <f t="shared" si="38"/>
        <v>0</v>
      </c>
      <c r="AC102" s="109"/>
      <c r="AD102" s="139" t="str">
        <f t="shared" si="42"/>
        <v/>
      </c>
      <c r="AE102" s="40">
        <f t="shared" si="43"/>
        <v>0</v>
      </c>
      <c r="AG102" s="5">
        <f t="shared" si="39"/>
        <v>0</v>
      </c>
      <c r="AH102" s="5">
        <f t="shared" ref="AH102:AH111" si="51">AH101-AG102</f>
        <v>0</v>
      </c>
      <c r="AI102" s="82">
        <f>IF(Listas!$H$21=Listas!$I$17,1,IF(U102&lt;=$C$21,ROUND((EOMONTH(S102,0)-EOMONTH(S101,0))/30,0),0))</f>
        <v>0</v>
      </c>
      <c r="AL102" s="77">
        <f t="shared" si="37"/>
        <v>0</v>
      </c>
      <c r="AP102" s="6">
        <f t="shared" si="40"/>
        <v>0</v>
      </c>
      <c r="AQ102" s="5">
        <f t="shared" si="41"/>
        <v>0</v>
      </c>
    </row>
    <row r="103" spans="1:43">
      <c r="A103" s="77" t="str">
        <f>IF(IFERROR(VLOOKUP(C103,Listas!AT:AV,3,FALSE),0)=1,IF(WEEKDAY(C103+1)=7,C103+2,C103+1),C103)</f>
        <v/>
      </c>
      <c r="B103" s="5">
        <v>62</v>
      </c>
      <c r="C103" s="80" t="str">
        <f>IF(B103&gt;$C$21,"",IF(Listas!$I$21=Listas!$I$17,IF(WEEKDAY(C102+$D$13)=1,C102+$D$13+1,C102+$D$13),IF(B103&lt;=$C$21,IF((DATE(YEAR(C102),MONTH(C102)+1,DAY($C$14))-C102)&gt;=27,IF(WEEKDAY(DATE(YEAR(C102),MONTH(C102)+1,DAY($C$14)))=1,DATE(YEAR(C102),MONTH(C102)+1,DAY($C$14)+1),DATE(YEAR(C102),MONTH(C102)+1,DAY($C$14))),DATE(YEAR(C102),MONTH(C102)+2,DAY($C$14))),"")))</f>
        <v/>
      </c>
      <c r="D103" s="6" t="str">
        <f t="shared" si="44"/>
        <v/>
      </c>
      <c r="E103" s="4" t="str">
        <f t="shared" si="45"/>
        <v/>
      </c>
      <c r="F103" s="4">
        <f>IF($C$23=0,0,IF(OR(Listas!$K$6=Listas!$L$3,Listas!$K$6=Listas!$L$4),0,IF($C$23="",0,IF(Listas!$D$5=Listas!$C$3,ROUND(IF(B103&lt;=$C$21,IF(ROUND((D102/$T$120)*$C$23*Q103,2)&lt;(1/$T$120),ROUND((1/$T$120),2),ROUND((D102/$T$120)*$C$23,2)*Q103),0),2),IF(Listas!$D$5=Listas!$C$2,ROUND(IF(B103&lt;=$C$21,IF(ROUND(D102*$C$23*Q103,2)&lt;1,1,ROUND(D102*$C$23,2)*Q103),0),2))))))</f>
        <v>0</v>
      </c>
      <c r="G103" s="6" t="str">
        <f t="shared" si="46"/>
        <v/>
      </c>
      <c r="H103" s="6"/>
      <c r="I103" s="6">
        <f t="shared" si="47"/>
        <v>0</v>
      </c>
      <c r="J103" s="5">
        <f t="shared" si="48"/>
        <v>0</v>
      </c>
      <c r="K103" s="126">
        <f t="shared" si="18"/>
        <v>0</v>
      </c>
      <c r="L103" s="5">
        <f t="shared" si="49"/>
        <v>0</v>
      </c>
      <c r="M103" s="5">
        <f t="shared" si="30"/>
        <v>0</v>
      </c>
      <c r="N103" s="5">
        <f t="shared" si="20"/>
        <v>0</v>
      </c>
      <c r="O103" s="81">
        <f t="shared" si="50"/>
        <v>0</v>
      </c>
      <c r="P103" s="81">
        <f t="shared" si="22"/>
        <v>0</v>
      </c>
      <c r="Q103" s="82">
        <f>IF(Listas!$H$21=Listas!$I$15,1,IF(B103&lt;=$C$21,ROUND((EOMONTH(A103,0)-EOMONTH(A102,0))/30,0),0))</f>
        <v>0</v>
      </c>
      <c r="R103" s="138"/>
      <c r="S103" s="179" t="str">
        <f t="shared" si="34"/>
        <v/>
      </c>
      <c r="T103" s="179"/>
      <c r="U103" s="140" t="str">
        <f t="shared" si="35"/>
        <v/>
      </c>
      <c r="V103" s="141" t="str">
        <f t="shared" si="36"/>
        <v/>
      </c>
      <c r="W103" s="141" t="str">
        <f>IF(U102="","",IF(U103="",SUM($W$42:W102),IF(U103=$C$21,V102,Z103-X103-Y103)))</f>
        <v/>
      </c>
      <c r="X103" s="142" t="str">
        <f>IF(U102="","",IF(U103="",SUM($X$42:X102),ROUND(((1+$C$24)^(AG103/30)-1)*V102,2)))</f>
        <v/>
      </c>
      <c r="Y103" s="142">
        <f>IF($C$23=0,0,IF(OR(Listas!$K$6=Listas!$L$3,Listas!$K$6=Listas!$L$4),0,IF($C$23="",0,IF(Listas!$D$5=Listas!$C$3,ROUND(IF(U103&lt;=$C$21,IF(ROUND((V102/$T$120)*$C$23*AI103,2)&lt;(1/$T$120),ROUND((1/$T$120),2),ROUND((V102/$T$120)*$C$23,2)*AI103),0),2),IF(Listas!$D$5=Listas!$C$2,ROUND(IF(U103&lt;=$C$21,IF(ROUND(V102*$C$23*AI103,2)&lt;1,1,ROUND(V102*$C$23,2)*AI103),0),2))))))</f>
        <v>0</v>
      </c>
      <c r="Z103" s="141" t="str">
        <f>IF(U102="","",IF(U103="",SUM($Z$42:Z102),IF(U103=$C$21,SUM(W103,X103,Y103,AQ103),IF(U103&lt;$C$21,$C$34,0))))</f>
        <v/>
      </c>
      <c r="AA103" s="141" t="str">
        <f>IF(U102="","",IF(U103="",SUM($AA$42:AA102),IF(U103&lt;=$C$21,$C$17,0)))</f>
        <v/>
      </c>
      <c r="AB103" s="141">
        <f t="shared" si="38"/>
        <v>0</v>
      </c>
      <c r="AC103" s="109"/>
      <c r="AD103" s="139" t="str">
        <f t="shared" si="42"/>
        <v/>
      </c>
      <c r="AE103" s="40">
        <f t="shared" si="43"/>
        <v>0</v>
      </c>
      <c r="AG103" s="5">
        <f t="shared" si="39"/>
        <v>0</v>
      </c>
      <c r="AH103" s="5">
        <f t="shared" si="51"/>
        <v>0</v>
      </c>
      <c r="AI103" s="82">
        <f>IF(Listas!$H$21=Listas!$I$17,1,IF(U103&lt;=$C$21,ROUND((EOMONTH(S103,0)-EOMONTH(S102,0))/30,0),0))</f>
        <v>0</v>
      </c>
      <c r="AL103" s="77">
        <f t="shared" si="37"/>
        <v>0</v>
      </c>
      <c r="AP103" s="6">
        <f t="shared" si="40"/>
        <v>0</v>
      </c>
      <c r="AQ103" s="5">
        <f t="shared" si="41"/>
        <v>0</v>
      </c>
    </row>
    <row r="104" spans="1:43">
      <c r="A104" s="77" t="str">
        <f>IF(IFERROR(VLOOKUP(C104,Listas!AT:AV,3,FALSE),0)=1,IF(WEEKDAY(C104+1)=7,C104+2,C104+1),C104)</f>
        <v/>
      </c>
      <c r="B104" s="5">
        <v>63</v>
      </c>
      <c r="C104" s="80" t="str">
        <f>IF(B104&gt;$C$21,"",IF(Listas!$I$21=Listas!$I$17,IF(WEEKDAY(C103+$D$13)=1,C103+$D$13+1,C103+$D$13),IF(B104&lt;=$C$21,IF((DATE(YEAR(C103),MONTH(C103)+1,DAY($C$14))-C103)&gt;=27,IF(WEEKDAY(DATE(YEAR(C103),MONTH(C103)+1,DAY($C$14)))=1,DATE(YEAR(C103),MONTH(C103)+1,DAY($C$14)+1),DATE(YEAR(C103),MONTH(C103)+1,DAY($C$14))),DATE(YEAR(C103),MONTH(C103)+2,DAY($C$14))),"")))</f>
        <v/>
      </c>
      <c r="D104" s="6" t="str">
        <f t="shared" si="44"/>
        <v/>
      </c>
      <c r="E104" s="4" t="str">
        <f t="shared" si="45"/>
        <v/>
      </c>
      <c r="F104" s="4">
        <f>IF($C$23=0,0,IF(OR(Listas!$K$6=Listas!$L$3,Listas!$K$6=Listas!$L$4),0,IF($C$23="",0,IF(Listas!$D$5=Listas!$C$3,ROUND(IF(B104&lt;=$C$21,IF(ROUND((D103/$T$120)*$C$23*Q104,2)&lt;(1/$T$120),ROUND((1/$T$120),2),ROUND((D103/$T$120)*$C$23,2)*Q104),0),2),IF(Listas!$D$5=Listas!$C$2,ROUND(IF(B104&lt;=$C$21,IF(ROUND(D103*$C$23*Q104,2)&lt;1,1,ROUND(D103*$C$23,2)*Q104),0),2))))))</f>
        <v>0</v>
      </c>
      <c r="G104" s="6" t="str">
        <f t="shared" si="46"/>
        <v/>
      </c>
      <c r="H104" s="6"/>
      <c r="I104" s="6">
        <f t="shared" si="47"/>
        <v>0</v>
      </c>
      <c r="J104" s="5">
        <f t="shared" si="48"/>
        <v>0</v>
      </c>
      <c r="K104" s="126">
        <f t="shared" si="18"/>
        <v>0</v>
      </c>
      <c r="L104" s="5">
        <f t="shared" si="49"/>
        <v>0</v>
      </c>
      <c r="M104" s="5">
        <f t="shared" si="30"/>
        <v>0</v>
      </c>
      <c r="N104" s="5">
        <f t="shared" si="20"/>
        <v>0</v>
      </c>
      <c r="O104" s="81">
        <f t="shared" si="50"/>
        <v>0</v>
      </c>
      <c r="P104" s="81">
        <f t="shared" si="22"/>
        <v>0</v>
      </c>
      <c r="Q104" s="82">
        <f>IF(Listas!$H$21=Listas!$I$15,1,IF(B104&lt;=$C$21,ROUND((EOMONTH(A104,0)-EOMONTH(A103,0))/30,0),0))</f>
        <v>0</v>
      </c>
      <c r="R104" s="138"/>
      <c r="S104" s="179" t="str">
        <f t="shared" si="34"/>
        <v/>
      </c>
      <c r="T104" s="179"/>
      <c r="U104" s="140" t="str">
        <f t="shared" si="35"/>
        <v/>
      </c>
      <c r="V104" s="141" t="str">
        <f t="shared" si="36"/>
        <v/>
      </c>
      <c r="W104" s="141" t="str">
        <f>IF(U103="","",IF(U104="",SUM($W$42:W103),IF(U104=$C$21,V103,Z104-X104-Y104)))</f>
        <v/>
      </c>
      <c r="X104" s="142" t="str">
        <f>IF(U103="","",IF(U104="",SUM($X$42:X103),ROUND(((1+$C$24)^(AG104/30)-1)*V103,2)))</f>
        <v/>
      </c>
      <c r="Y104" s="142">
        <f>IF($C$23=0,0,IF(OR(Listas!$K$6=Listas!$L$3,Listas!$K$6=Listas!$L$4),0,IF($C$23="",0,IF(Listas!$D$5=Listas!$C$3,ROUND(IF(U104&lt;=$C$21,IF(ROUND((V103/$T$120)*$C$23*AI104,2)&lt;(1/$T$120),ROUND((1/$T$120),2),ROUND((V103/$T$120)*$C$23,2)*AI104),0),2),IF(Listas!$D$5=Listas!$C$2,ROUND(IF(U104&lt;=$C$21,IF(ROUND(V103*$C$23*AI104,2)&lt;1,1,ROUND(V103*$C$23,2)*AI104),0),2))))))</f>
        <v>0</v>
      </c>
      <c r="Z104" s="141" t="str">
        <f>IF(U103="","",IF(U104="",SUM($Z$42:Z103),IF(U104=$C$21,SUM(W104,X104,Y104,AQ104),IF(U104&lt;$C$21,$C$34,0))))</f>
        <v/>
      </c>
      <c r="AA104" s="141" t="str">
        <f>IF(U103="","",IF(U104="",SUM($AA$42:AA103),IF(U104&lt;=$C$21,$C$17,0)))</f>
        <v/>
      </c>
      <c r="AB104" s="141">
        <f t="shared" si="38"/>
        <v>0</v>
      </c>
      <c r="AC104" s="109"/>
      <c r="AD104" s="139" t="str">
        <f t="shared" si="42"/>
        <v/>
      </c>
      <c r="AE104" s="40">
        <f t="shared" si="43"/>
        <v>0</v>
      </c>
      <c r="AG104" s="5">
        <f t="shared" si="39"/>
        <v>0</v>
      </c>
      <c r="AH104" s="5">
        <f t="shared" si="51"/>
        <v>0</v>
      </c>
      <c r="AI104" s="82">
        <f>IF(Listas!$H$21=Listas!$I$17,1,IF(U104&lt;=$C$21,ROUND((EOMONTH(S104,0)-EOMONTH(S103,0))/30,0),0))</f>
        <v>0</v>
      </c>
      <c r="AL104" s="77">
        <f t="shared" si="37"/>
        <v>0</v>
      </c>
      <c r="AP104" s="6">
        <f t="shared" si="40"/>
        <v>0</v>
      </c>
      <c r="AQ104" s="5">
        <f t="shared" si="41"/>
        <v>0</v>
      </c>
    </row>
    <row r="105" spans="1:43">
      <c r="A105" s="77" t="str">
        <f>IF(IFERROR(VLOOKUP(C105,Listas!AT:AV,3,FALSE),0)=1,IF(WEEKDAY(C105+1)=7,C105+2,C105+1),C105)</f>
        <v/>
      </c>
      <c r="B105" s="5">
        <v>64</v>
      </c>
      <c r="C105" s="80" t="str">
        <f>IF(B105&gt;$C$21,"",IF(Listas!$I$21=Listas!$I$17,IF(WEEKDAY(C104+$D$13)=1,C104+$D$13+1,C104+$D$13),IF(B105&lt;=$C$21,IF((DATE(YEAR(C104),MONTH(C104)+1,DAY($C$14))-C104)&gt;=27,IF(WEEKDAY(DATE(YEAR(C104),MONTH(C104)+1,DAY($C$14)))=1,DATE(YEAR(C104),MONTH(C104)+1,DAY($C$14)+1),DATE(YEAR(C104),MONTH(C104)+1,DAY($C$14))),DATE(YEAR(C104),MONTH(C104)+2,DAY($C$14))),"")))</f>
        <v/>
      </c>
      <c r="D105" s="6" t="str">
        <f t="shared" si="44"/>
        <v/>
      </c>
      <c r="E105" s="4" t="str">
        <f t="shared" si="45"/>
        <v/>
      </c>
      <c r="F105" s="4">
        <f>IF($C$23=0,0,IF(OR(Listas!$K$6=Listas!$L$3,Listas!$K$6=Listas!$L$4),0,IF($C$23="",0,IF(Listas!$D$5=Listas!$C$3,ROUND(IF(B105&lt;=$C$21,IF(ROUND((D104/$T$120)*$C$23*Q105,2)&lt;(1/$T$120),ROUND((1/$T$120),2),ROUND((D104/$T$120)*$C$23,2)*Q105),0),2),IF(Listas!$D$5=Listas!$C$2,ROUND(IF(B105&lt;=$C$21,IF(ROUND(D104*$C$23*Q105,2)&lt;1,1,ROUND(D104*$C$23,2)*Q105),0),2))))))</f>
        <v>0</v>
      </c>
      <c r="G105" s="6" t="str">
        <f t="shared" si="46"/>
        <v/>
      </c>
      <c r="H105" s="6"/>
      <c r="I105" s="6">
        <f t="shared" si="47"/>
        <v>0</v>
      </c>
      <c r="J105" s="5">
        <f t="shared" si="48"/>
        <v>0</v>
      </c>
      <c r="K105" s="126">
        <f t="shared" si="18"/>
        <v>0</v>
      </c>
      <c r="L105" s="5">
        <f t="shared" si="49"/>
        <v>0</v>
      </c>
      <c r="M105" s="5">
        <f t="shared" si="30"/>
        <v>0</v>
      </c>
      <c r="N105" s="5">
        <f t="shared" si="20"/>
        <v>0</v>
      </c>
      <c r="O105" s="81">
        <f t="shared" si="50"/>
        <v>0</v>
      </c>
      <c r="P105" s="81">
        <f t="shared" si="22"/>
        <v>0</v>
      </c>
      <c r="Q105" s="82">
        <f>IF(Listas!$H$21=Listas!$I$15,1,IF(B105&lt;=$C$21,ROUND((EOMONTH(A105,0)-EOMONTH(A104,0))/30,0),0))</f>
        <v>0</v>
      </c>
      <c r="R105" s="138"/>
      <c r="S105" s="179" t="str">
        <f t="shared" si="34"/>
        <v/>
      </c>
      <c r="T105" s="179"/>
      <c r="U105" s="140" t="str">
        <f t="shared" si="35"/>
        <v/>
      </c>
      <c r="V105" s="141" t="str">
        <f t="shared" si="36"/>
        <v/>
      </c>
      <c r="W105" s="141" t="str">
        <f>IF(U104="","",IF(U105="",SUM($W$42:W104),IF(U105=$C$21,V104,Z105-X105-Y105)))</f>
        <v/>
      </c>
      <c r="X105" s="142" t="str">
        <f>IF(U104="","",IF(U105="",SUM($X$42:X104),ROUND(((1+$C$24)^(AG105/30)-1)*V104,2)))</f>
        <v/>
      </c>
      <c r="Y105" s="142">
        <f>IF($C$23=0,0,IF(OR(Listas!$K$6=Listas!$L$3,Listas!$K$6=Listas!$L$4),0,IF($C$23="",0,IF(Listas!$D$5=Listas!$C$3,ROUND(IF(U105&lt;=$C$21,IF(ROUND((V104/$T$120)*$C$23*AI105,2)&lt;(1/$T$120),ROUND((1/$T$120),2),ROUND((V104/$T$120)*$C$23,2)*AI105),0),2),IF(Listas!$D$5=Listas!$C$2,ROUND(IF(U105&lt;=$C$21,IF(ROUND(V104*$C$23*AI105,2)&lt;1,1,ROUND(V104*$C$23,2)*AI105),0),2))))))</f>
        <v>0</v>
      </c>
      <c r="Z105" s="141" t="str">
        <f>IF(U104="","",IF(U105="",SUM($Z$42:Z104),IF(U105=$C$21,SUM(W105,X105,Y105,AQ105),IF(U105&lt;$C$21,$C$34,0))))</f>
        <v/>
      </c>
      <c r="AA105" s="141" t="str">
        <f>IF(U104="","",IF(U105="",SUM($AA$42:AA104),IF(U105&lt;=$C$21,$C$17,0)))</f>
        <v/>
      </c>
      <c r="AB105" s="141">
        <f t="shared" si="38"/>
        <v>0</v>
      </c>
      <c r="AC105" s="109"/>
      <c r="AD105" s="139" t="str">
        <f t="shared" si="42"/>
        <v/>
      </c>
      <c r="AE105" s="40">
        <f t="shared" si="43"/>
        <v>0</v>
      </c>
      <c r="AG105" s="5">
        <f t="shared" si="39"/>
        <v>0</v>
      </c>
      <c r="AH105" s="5">
        <f t="shared" si="51"/>
        <v>0</v>
      </c>
      <c r="AI105" s="82">
        <f>IF(Listas!$H$21=Listas!$I$17,1,IF(U105&lt;=$C$21,ROUND((EOMONTH(S105,0)-EOMONTH(S104,0))/30,0),0))</f>
        <v>0</v>
      </c>
      <c r="AL105" s="77">
        <f t="shared" ref="AL105:AL114" si="52">IF(S105="",0,IF(S105="Total",0,S105))</f>
        <v>0</v>
      </c>
      <c r="AP105" s="6">
        <f t="shared" si="40"/>
        <v>0</v>
      </c>
      <c r="AQ105" s="5">
        <f t="shared" si="41"/>
        <v>0</v>
      </c>
    </row>
    <row r="106" spans="1:43">
      <c r="A106" s="77" t="str">
        <f>IF(IFERROR(VLOOKUP(C106,Listas!AT:AV,3,FALSE),0)=1,IF(WEEKDAY(C106+1)=7,C106+2,C106+1),C106)</f>
        <v/>
      </c>
      <c r="B106" s="5">
        <v>65</v>
      </c>
      <c r="C106" s="80" t="str">
        <f>IF(B106&gt;$C$21,"",IF(Listas!$I$21=Listas!$I$17,IF(WEEKDAY(C105+$D$13)=1,C105+$D$13+1,C105+$D$13),IF(B106&lt;=$C$21,IF((DATE(YEAR(C105),MONTH(C105)+1,DAY($C$14))-C105)&gt;=27,IF(WEEKDAY(DATE(YEAR(C105),MONTH(C105)+1,DAY($C$14)))=1,DATE(YEAR(C105),MONTH(C105)+1,DAY($C$14)+1),DATE(YEAR(C105),MONTH(C105)+1,DAY($C$14))),DATE(YEAR(C105),MONTH(C105)+2,DAY($C$14))),"")))</f>
        <v/>
      </c>
      <c r="D106" s="6" t="str">
        <f t="shared" si="44"/>
        <v/>
      </c>
      <c r="E106" s="4" t="str">
        <f t="shared" si="45"/>
        <v/>
      </c>
      <c r="F106" s="4">
        <f>IF($C$23=0,0,IF(OR(Listas!$K$6=Listas!$L$3,Listas!$K$6=Listas!$L$4),0,IF($C$23="",0,IF(Listas!$D$5=Listas!$C$3,ROUND(IF(B106&lt;=$C$21,IF(ROUND((D105/$T$120)*$C$23*Q106,2)&lt;(1/$T$120),ROUND((1/$T$120),2),ROUND((D105/$T$120)*$C$23,2)*Q106),0),2),IF(Listas!$D$5=Listas!$C$2,ROUND(IF(B106&lt;=$C$21,IF(ROUND(D105*$C$23*Q106,2)&lt;1,1,ROUND(D105*$C$23,2)*Q106),0),2))))))</f>
        <v>0</v>
      </c>
      <c r="G106" s="6" t="str">
        <f t="shared" si="46"/>
        <v/>
      </c>
      <c r="H106" s="6"/>
      <c r="I106" s="6">
        <f t="shared" si="47"/>
        <v>0</v>
      </c>
      <c r="J106" s="5">
        <f t="shared" si="48"/>
        <v>0</v>
      </c>
      <c r="K106" s="126">
        <f t="shared" si="18"/>
        <v>0</v>
      </c>
      <c r="L106" s="5">
        <f t="shared" si="49"/>
        <v>0</v>
      </c>
      <c r="M106" s="5">
        <f t="shared" si="30"/>
        <v>0</v>
      </c>
      <c r="N106" s="5">
        <f t="shared" si="20"/>
        <v>0</v>
      </c>
      <c r="O106" s="81">
        <f t="shared" si="50"/>
        <v>0</v>
      </c>
      <c r="P106" s="81">
        <f t="shared" si="22"/>
        <v>0</v>
      </c>
      <c r="Q106" s="82">
        <f>IF(Listas!$H$21=Listas!$I$15,1,IF(B106&lt;=$C$21,ROUND((EOMONTH(A106,0)-EOMONTH(A105,0))/30,0),0))</f>
        <v>0</v>
      </c>
      <c r="R106" s="138"/>
      <c r="S106" s="179" t="str">
        <f t="shared" si="34"/>
        <v/>
      </c>
      <c r="T106" s="179"/>
      <c r="U106" s="140" t="str">
        <f t="shared" si="35"/>
        <v/>
      </c>
      <c r="V106" s="141" t="str">
        <f t="shared" si="36"/>
        <v/>
      </c>
      <c r="W106" s="141" t="str">
        <f>IF(U105="","",IF(U106="",SUM($W$42:W105),IF(U106=$C$21,V105,Z106-X106-Y106)))</f>
        <v/>
      </c>
      <c r="X106" s="142" t="str">
        <f>IF(U105="","",IF(U106="",SUM($X$42:X105),ROUND(((1+$C$24)^(AG106/30)-1)*V105,2)))</f>
        <v/>
      </c>
      <c r="Y106" s="142">
        <f>IF($C$23=0,0,IF(OR(Listas!$K$6=Listas!$L$3,Listas!$K$6=Listas!$L$4),0,IF($C$23="",0,IF(Listas!$D$5=Listas!$C$3,ROUND(IF(U106&lt;=$C$21,IF(ROUND((V105/$T$120)*$C$23*AI106,2)&lt;(1/$T$120),ROUND((1/$T$120),2),ROUND((V105/$T$120)*$C$23,2)*AI106),0),2),IF(Listas!$D$5=Listas!$C$2,ROUND(IF(U106&lt;=$C$21,IF(ROUND(V105*$C$23*AI106,2)&lt;1,1,ROUND(V105*$C$23,2)*AI106),0),2))))))</f>
        <v>0</v>
      </c>
      <c r="Z106" s="141" t="str">
        <f>IF(U105="","",IF(U106="",SUM($Z$42:Z105),IF(U106=$C$21,SUM(W106,X106,Y106,AQ106),IF(U106&lt;$C$21,$C$34,0))))</f>
        <v/>
      </c>
      <c r="AA106" s="141" t="str">
        <f>IF(U105="","",IF(U106="",SUM($AA$42:AA105),IF(U106&lt;=$C$21,$C$17,0)))</f>
        <v/>
      </c>
      <c r="AB106" s="141">
        <f t="shared" ref="AB106:AB114" si="53">SUM(Z106:AA106)</f>
        <v>0</v>
      </c>
      <c r="AC106" s="109"/>
      <c r="AD106" s="139" t="str">
        <f t="shared" si="42"/>
        <v/>
      </c>
      <c r="AE106" s="40">
        <f t="shared" si="43"/>
        <v>0</v>
      </c>
      <c r="AG106" s="5">
        <f t="shared" ref="AG106:AG113" si="54">IF(U106&lt;=$C$21,S106-S105,0)</f>
        <v>0</v>
      </c>
      <c r="AH106" s="5">
        <f t="shared" si="51"/>
        <v>0</v>
      </c>
      <c r="AI106" s="82">
        <f>IF(Listas!$H$21=Listas!$I$17,1,IF(U106&lt;=$C$21,ROUND((EOMONTH(S106,0)-EOMONTH(S105,0))/30,0),0))</f>
        <v>0</v>
      </c>
      <c r="AL106" s="77">
        <f t="shared" si="52"/>
        <v>0</v>
      </c>
      <c r="AP106" s="6">
        <f t="shared" ref="AP106:AP114" si="55">IF(S106="Total",0,IF(S106="",0,Z106))</f>
        <v>0</v>
      </c>
      <c r="AQ106" s="5">
        <f t="shared" ref="AQ106:AQ111" si="56">IF(U106&lt;=$C$21,$C$15,0)</f>
        <v>0</v>
      </c>
    </row>
    <row r="107" spans="1:43">
      <c r="A107" s="77" t="str">
        <f>IF(IFERROR(VLOOKUP(C107,Listas!AT:AV,3,FALSE),0)=1,IF(WEEKDAY(C107+1)=7,C107+2,C107+1),C107)</f>
        <v/>
      </c>
      <c r="B107" s="5">
        <v>66</v>
      </c>
      <c r="C107" s="80" t="str">
        <f>IF(B107&gt;$C$21,"",IF(Listas!$I$21=Listas!$I$17,IF(WEEKDAY(C106+$D$13)=1,C106+$D$13+1,C106+$D$13),IF(B107&lt;=$C$21,IF((DATE(YEAR(C106),MONTH(C106)+1,DAY($C$14))-C106)&gt;=27,IF(WEEKDAY(DATE(YEAR(C106),MONTH(C106)+1,DAY($C$14)))=1,DATE(YEAR(C106),MONTH(C106)+1,DAY($C$14)+1),DATE(YEAR(C106),MONTH(C106)+1,DAY($C$14))),DATE(YEAR(C106),MONTH(C106)+2,DAY($C$14))),"")))</f>
        <v/>
      </c>
      <c r="D107" s="6" t="str">
        <f t="shared" si="44"/>
        <v/>
      </c>
      <c r="E107" s="4" t="str">
        <f t="shared" si="45"/>
        <v/>
      </c>
      <c r="F107" s="4">
        <f>IF($C$23=0,0,IF(OR(Listas!$K$6=Listas!$L$3,Listas!$K$6=Listas!$L$4),0,IF($C$23="",0,IF(Listas!$D$5=Listas!$C$3,ROUND(IF(B107&lt;=$C$21,IF(ROUND((D106/$T$120)*$C$23*Q107,2)&lt;(1/$T$120),ROUND((1/$T$120),2),ROUND((D106/$T$120)*$C$23,2)*Q107),0),2),IF(Listas!$D$5=Listas!$C$2,ROUND(IF(B107&lt;=$C$21,IF(ROUND(D106*$C$23*Q107,2)&lt;1,1,ROUND(D106*$C$23,2)*Q107),0),2))))))</f>
        <v>0</v>
      </c>
      <c r="G107" s="6" t="str">
        <f t="shared" si="46"/>
        <v/>
      </c>
      <c r="H107" s="6"/>
      <c r="I107" s="6">
        <f t="shared" si="47"/>
        <v>0</v>
      </c>
      <c r="J107" s="5">
        <f t="shared" si="48"/>
        <v>0</v>
      </c>
      <c r="K107" s="126">
        <f t="shared" ref="K107:K113" si="57">L107*Q107</f>
        <v>0</v>
      </c>
      <c r="L107" s="5">
        <f t="shared" si="49"/>
        <v>0</v>
      </c>
      <c r="M107" s="5">
        <f t="shared" si="30"/>
        <v>0</v>
      </c>
      <c r="N107" s="5">
        <f t="shared" ref="N107:N113" si="58">N106-M107</f>
        <v>0</v>
      </c>
      <c r="O107" s="81">
        <f t="shared" si="50"/>
        <v>0</v>
      </c>
      <c r="P107" s="81">
        <f t="shared" ref="P107:P113" si="59">IF(B107&lt;=$C$21,ROUND((1+$C$24)^(N107/30),8),0)*K107*Q107</f>
        <v>0</v>
      </c>
      <c r="Q107" s="82">
        <f>IF(Listas!$H$21=Listas!$I$15,1,IF(B107&lt;=$C$21,ROUND((EOMONTH(A107,0)-EOMONTH(A106,0))/30,0),0))</f>
        <v>0</v>
      </c>
      <c r="R107" s="138"/>
      <c r="S107" s="179" t="str">
        <f t="shared" si="34"/>
        <v/>
      </c>
      <c r="T107" s="179"/>
      <c r="U107" s="140" t="str">
        <f t="shared" si="35"/>
        <v/>
      </c>
      <c r="V107" s="141" t="str">
        <f t="shared" si="36"/>
        <v/>
      </c>
      <c r="W107" s="141" t="str">
        <f>IF(U106="","",IF(U107="",SUM($W$42:W106),IF(U107=$C$21,V106,Z107-X107-Y107)))</f>
        <v/>
      </c>
      <c r="X107" s="142" t="str">
        <f>IF(U106="","",IF(U107="",SUM($X$42:X106),ROUND(((1+$C$24)^(AG107/30)-1)*V106,2)))</f>
        <v/>
      </c>
      <c r="Y107" s="142">
        <f>IF($C$23=0,0,IF(OR(Listas!$K$6=Listas!$L$3,Listas!$K$6=Listas!$L$4),0,IF($C$23="",0,IF(Listas!$D$5=Listas!$C$3,ROUND(IF(U107&lt;=$C$21,IF(ROUND((V106/$T$120)*$C$23*AI107,2)&lt;(1/$T$120),ROUND((1/$T$120),2),ROUND((V106/$T$120)*$C$23,2)*AI107),0),2),IF(Listas!$D$5=Listas!$C$2,ROUND(IF(U107&lt;=$C$21,IF(ROUND(V106*$C$23*AI107,2)&lt;1,1,ROUND(V106*$C$23,2)*AI107),0),2))))))</f>
        <v>0</v>
      </c>
      <c r="Z107" s="141" t="str">
        <f>IF(U106="","",IF(U107="",SUM($Z$42:Z106),IF(U107=$C$21,SUM(W107,X107,Y107,AQ107),IF(U107&lt;$C$21,$C$34,0))))</f>
        <v/>
      </c>
      <c r="AA107" s="141" t="str">
        <f>IF(U106="","",IF(U107="",SUM($AA$42:AA106),IF(U107&lt;=$C$21,$C$17,0)))</f>
        <v/>
      </c>
      <c r="AB107" s="141">
        <f t="shared" si="53"/>
        <v>0</v>
      </c>
      <c r="AC107" s="109"/>
      <c r="AD107" s="139" t="str">
        <f t="shared" si="42"/>
        <v/>
      </c>
      <c r="AE107" s="40">
        <f t="shared" si="43"/>
        <v>0</v>
      </c>
      <c r="AG107" s="5">
        <f t="shared" si="54"/>
        <v>0</v>
      </c>
      <c r="AH107" s="5">
        <f t="shared" si="51"/>
        <v>0</v>
      </c>
      <c r="AI107" s="82">
        <f>IF(Listas!$H$21=Listas!$I$17,1,IF(U107&lt;=$C$21,ROUND((EOMONTH(S107,0)-EOMONTH(S106,0))/30,0),0))</f>
        <v>0</v>
      </c>
      <c r="AL107" s="77">
        <f t="shared" si="52"/>
        <v>0</v>
      </c>
      <c r="AP107" s="6">
        <f t="shared" si="55"/>
        <v>0</v>
      </c>
      <c r="AQ107" s="5">
        <f t="shared" si="56"/>
        <v>0</v>
      </c>
    </row>
    <row r="108" spans="1:43">
      <c r="A108" s="77" t="str">
        <f>IF(IFERROR(VLOOKUP(C108,Listas!AT:AV,3,FALSE),0)=1,IF(WEEKDAY(C108+1)=7,C108+2,C108+1),C108)</f>
        <v/>
      </c>
      <c r="B108" s="5">
        <v>67</v>
      </c>
      <c r="C108" s="80" t="str">
        <f>IF(B108&gt;$C$21,"",IF(Listas!$I$21=Listas!$I$17,IF(WEEKDAY(C107+$D$13)=1,C107+$D$13+1,C107+$D$13),IF(B108&lt;=$C$21,IF((DATE(YEAR(C107),MONTH(C107)+1,DAY($C$14))-C107)&gt;=27,IF(WEEKDAY(DATE(YEAR(C107),MONTH(C107)+1,DAY($C$14)))=1,DATE(YEAR(C107),MONTH(C107)+1,DAY($C$14)+1),DATE(YEAR(C107),MONTH(C107)+1,DAY($C$14))),DATE(YEAR(C107),MONTH(C107)+2,DAY($C$14))),"")))</f>
        <v/>
      </c>
      <c r="D108" s="6" t="str">
        <f t="shared" si="44"/>
        <v/>
      </c>
      <c r="E108" s="4" t="str">
        <f t="shared" si="45"/>
        <v/>
      </c>
      <c r="F108" s="4">
        <f>IF($C$23=0,0,IF(OR(Listas!$K$6=Listas!$L$3,Listas!$K$6=Listas!$L$4),0,IF($C$23="",0,IF(Listas!$D$5=Listas!$C$3,ROUND(IF(B108&lt;=$C$21,IF(ROUND((D107/$T$120)*$C$23*Q108,2)&lt;(1/$T$120),ROUND((1/$T$120),2),ROUND((D107/$T$120)*$C$23,2)*Q108),0),2),IF(Listas!$D$5=Listas!$C$2,ROUND(IF(B108&lt;=$C$21,IF(ROUND(D107*$C$23*Q108,2)&lt;1,1,ROUND(D107*$C$23,2)*Q108),0),2))))))</f>
        <v>0</v>
      </c>
      <c r="G108" s="6" t="str">
        <f t="shared" si="46"/>
        <v/>
      </c>
      <c r="H108" s="6"/>
      <c r="I108" s="6">
        <f t="shared" si="47"/>
        <v>0</v>
      </c>
      <c r="J108" s="5">
        <f t="shared" si="48"/>
        <v>0</v>
      </c>
      <c r="K108" s="126">
        <f t="shared" si="57"/>
        <v>0</v>
      </c>
      <c r="L108" s="5">
        <f t="shared" si="49"/>
        <v>0</v>
      </c>
      <c r="M108" s="5">
        <f t="shared" si="30"/>
        <v>0</v>
      </c>
      <c r="N108" s="5">
        <f t="shared" si="58"/>
        <v>0</v>
      </c>
      <c r="O108" s="81">
        <f t="shared" si="50"/>
        <v>0</v>
      </c>
      <c r="P108" s="81">
        <f t="shared" si="59"/>
        <v>0</v>
      </c>
      <c r="Q108" s="82">
        <f>IF(Listas!$H$21=Listas!$I$15,1,IF(B108&lt;=$C$21,ROUND((EOMONTH(A108,0)-EOMONTH(A107,0))/30,0),0))</f>
        <v>0</v>
      </c>
      <c r="R108" s="138"/>
      <c r="S108" s="179" t="str">
        <f t="shared" si="34"/>
        <v/>
      </c>
      <c r="T108" s="179"/>
      <c r="U108" s="140" t="str">
        <f t="shared" si="35"/>
        <v/>
      </c>
      <c r="V108" s="141" t="str">
        <f t="shared" si="36"/>
        <v/>
      </c>
      <c r="W108" s="141" t="str">
        <f>IF(U107="","",IF(U108="",SUM($W$42:W107),IF(U108=$C$21,V107,Z108-X108-Y108)))</f>
        <v/>
      </c>
      <c r="X108" s="142" t="str">
        <f>IF(U107="","",IF(U108="",SUM($X$42:X107),ROUND(((1+$C$24)^(AG108/30)-1)*V107,2)))</f>
        <v/>
      </c>
      <c r="Y108" s="142">
        <f>IF($C$23=0,0,IF(OR(Listas!$K$6=Listas!$L$3,Listas!$K$6=Listas!$L$4),0,IF($C$23="",0,IF(Listas!$D$5=Listas!$C$3,ROUND(IF(U108&lt;=$C$21,IF(ROUND((V107/$T$120)*$C$23*AI108,2)&lt;(1/$T$120),ROUND((1/$T$120),2),ROUND((V107/$T$120)*$C$23,2)*AI108),0),2),IF(Listas!$D$5=Listas!$C$2,ROUND(IF(U108&lt;=$C$21,IF(ROUND(V107*$C$23*AI108,2)&lt;1,1,ROUND(V107*$C$23,2)*AI108),0),2))))))</f>
        <v>0</v>
      </c>
      <c r="Z108" s="141" t="str">
        <f>IF(U107="","",IF(U108="",SUM($Z$42:Z107),IF(U108=$C$21,SUM(W108,X108,Y108,AQ108),IF(U108&lt;$C$21,$C$34,0))))</f>
        <v/>
      </c>
      <c r="AA108" s="141" t="str">
        <f>IF(U107="","",IF(U108="",SUM($AA$42:AA107),IF(U108&lt;=$C$21,$C$17,0)))</f>
        <v/>
      </c>
      <c r="AB108" s="141">
        <f t="shared" si="53"/>
        <v>0</v>
      </c>
      <c r="AC108" s="109"/>
      <c r="AD108" s="139" t="str">
        <f t="shared" si="42"/>
        <v/>
      </c>
      <c r="AE108" s="40">
        <f t="shared" si="43"/>
        <v>0</v>
      </c>
      <c r="AG108" s="5">
        <f t="shared" si="54"/>
        <v>0</v>
      </c>
      <c r="AH108" s="5">
        <f t="shared" si="51"/>
        <v>0</v>
      </c>
      <c r="AI108" s="82">
        <f>IF(Listas!$H$21=Listas!$I$17,1,IF(U108&lt;=$C$21,ROUND((EOMONTH(S108,0)-EOMONTH(S107,0))/30,0),0))</f>
        <v>0</v>
      </c>
      <c r="AL108" s="77">
        <f t="shared" si="52"/>
        <v>0</v>
      </c>
      <c r="AP108" s="6">
        <f t="shared" si="55"/>
        <v>0</v>
      </c>
      <c r="AQ108" s="5">
        <f t="shared" si="56"/>
        <v>0</v>
      </c>
    </row>
    <row r="109" spans="1:43">
      <c r="A109" s="77" t="str">
        <f>IF(IFERROR(VLOOKUP(C109,Listas!AT:AV,3,FALSE),0)=1,IF(WEEKDAY(C109+1)=7,C109+2,C109+1),C109)</f>
        <v/>
      </c>
      <c r="B109" s="5">
        <v>68</v>
      </c>
      <c r="C109" s="80" t="str">
        <f>IF(B109&gt;$C$21,"",IF(Listas!$I$21=Listas!$I$17,IF(WEEKDAY(C108+$D$13)=1,C108+$D$13+1,C108+$D$13),IF(B109&lt;=$C$21,IF((DATE(YEAR(C108),MONTH(C108)+1,DAY($C$14))-C108)&gt;=27,IF(WEEKDAY(DATE(YEAR(C108),MONTH(C108)+1,DAY($C$14)))=1,DATE(YEAR(C108),MONTH(C108)+1,DAY($C$14)+1),DATE(YEAR(C108),MONTH(C108)+1,DAY($C$14))),DATE(YEAR(C108),MONTH(C108)+2,DAY($C$14))),"")))</f>
        <v/>
      </c>
      <c r="D109" s="6" t="str">
        <f t="shared" si="44"/>
        <v/>
      </c>
      <c r="E109" s="4" t="str">
        <f t="shared" si="45"/>
        <v/>
      </c>
      <c r="F109" s="4">
        <f>IF($C$23=0,0,IF(OR(Listas!$K$6=Listas!$L$3,Listas!$K$6=Listas!$L$4),0,IF($C$23="",0,IF(Listas!$D$5=Listas!$C$3,ROUND(IF(B109&lt;=$C$21,IF(ROUND((D108/$T$120)*$C$23*Q109,2)&lt;(1/$T$120),ROUND((1/$T$120),2),ROUND((D108/$T$120)*$C$23,2)*Q109),0),2),IF(Listas!$D$5=Listas!$C$2,ROUND(IF(B109&lt;=$C$21,IF(ROUND(D108*$C$23*Q109,2)&lt;1,1,ROUND(D108*$C$23,2)*Q109),0),2))))))</f>
        <v>0</v>
      </c>
      <c r="G109" s="6" t="str">
        <f t="shared" si="46"/>
        <v/>
      </c>
      <c r="H109" s="6"/>
      <c r="I109" s="6">
        <f t="shared" si="47"/>
        <v>0</v>
      </c>
      <c r="J109" s="5">
        <f t="shared" si="48"/>
        <v>0</v>
      </c>
      <c r="K109" s="126">
        <f t="shared" si="57"/>
        <v>0</v>
      </c>
      <c r="L109" s="5">
        <f t="shared" si="49"/>
        <v>0</v>
      </c>
      <c r="M109" s="5">
        <f t="shared" si="30"/>
        <v>0</v>
      </c>
      <c r="N109" s="5">
        <f t="shared" si="58"/>
        <v>0</v>
      </c>
      <c r="O109" s="81">
        <f t="shared" si="50"/>
        <v>0</v>
      </c>
      <c r="P109" s="81">
        <f t="shared" si="59"/>
        <v>0</v>
      </c>
      <c r="Q109" s="82">
        <f>IF(Listas!$H$21=Listas!$I$15,1,IF(B109&lt;=$C$21,ROUND((EOMONTH(A109,0)-EOMONTH(A108,0))/30,0),0))</f>
        <v>0</v>
      </c>
      <c r="R109" s="138"/>
      <c r="S109" s="179" t="str">
        <f t="shared" si="34"/>
        <v/>
      </c>
      <c r="T109" s="179"/>
      <c r="U109" s="140" t="str">
        <f t="shared" si="35"/>
        <v/>
      </c>
      <c r="V109" s="141" t="str">
        <f t="shared" si="36"/>
        <v/>
      </c>
      <c r="W109" s="141" t="str">
        <f>IF(U108="","",IF(U109="",SUM($W$42:W108),IF(U109=$C$21,V108,Z109-X109-Y109)))</f>
        <v/>
      </c>
      <c r="X109" s="142" t="str">
        <f>IF(U108="","",IF(U109="",SUM($X$42:X108),ROUND(((1+$C$24)^(AG109/30)-1)*V108,2)))</f>
        <v/>
      </c>
      <c r="Y109" s="142">
        <f>IF($C$23=0,0,IF(OR(Listas!$K$6=Listas!$L$3,Listas!$K$6=Listas!$L$4),0,IF($C$23="",0,IF(Listas!$D$5=Listas!$C$3,ROUND(IF(U109&lt;=$C$21,IF(ROUND((V108/$T$120)*$C$23*AI109,2)&lt;(1/$T$120),ROUND((1/$T$120),2),ROUND((V108/$T$120)*$C$23,2)*AI109),0),2),IF(Listas!$D$5=Listas!$C$2,ROUND(IF(U109&lt;=$C$21,IF(ROUND(V108*$C$23*AI109,2)&lt;1,1,ROUND(V108*$C$23,2)*AI109),0),2))))))</f>
        <v>0</v>
      </c>
      <c r="Z109" s="141" t="str">
        <f>IF(U108="","",IF(U109="",SUM($Z$42:Z108),IF(U109=$C$21,SUM(W109,X109,Y109,AQ109),IF(U109&lt;$C$21,$C$34,0))))</f>
        <v/>
      </c>
      <c r="AA109" s="141" t="str">
        <f>IF(U108="","",IF(U109="",SUM($AA$42:AA108),IF(U109&lt;=$C$21,$C$17,0)))</f>
        <v/>
      </c>
      <c r="AB109" s="141">
        <f t="shared" si="53"/>
        <v>0</v>
      </c>
      <c r="AC109" s="109"/>
      <c r="AD109" s="139" t="str">
        <f t="shared" si="42"/>
        <v/>
      </c>
      <c r="AE109" s="40">
        <f t="shared" si="43"/>
        <v>0</v>
      </c>
      <c r="AG109" s="5">
        <f t="shared" si="54"/>
        <v>0</v>
      </c>
      <c r="AH109" s="5">
        <f t="shared" si="51"/>
        <v>0</v>
      </c>
      <c r="AI109" s="82">
        <f>IF(Listas!$H$21=Listas!$I$17,1,IF(U109&lt;=$C$21,ROUND((EOMONTH(S109,0)-EOMONTH(S108,0))/30,0),0))</f>
        <v>0</v>
      </c>
      <c r="AL109" s="77">
        <f t="shared" si="52"/>
        <v>0</v>
      </c>
      <c r="AP109" s="6">
        <f t="shared" si="55"/>
        <v>0</v>
      </c>
      <c r="AQ109" s="5">
        <f t="shared" si="56"/>
        <v>0</v>
      </c>
    </row>
    <row r="110" spans="1:43">
      <c r="A110" s="77" t="str">
        <f>IF(IFERROR(VLOOKUP(C110,Listas!AT:AV,3,FALSE),0)=1,IF(WEEKDAY(C110+1)=7,C110+2,C110+1),C110)</f>
        <v/>
      </c>
      <c r="B110" s="5">
        <v>69</v>
      </c>
      <c r="C110" s="80" t="str">
        <f>IF(B110&gt;$C$21,"",IF(Listas!$I$21=Listas!$I$17,IF(WEEKDAY(C109+$D$13)=1,C109+$D$13+1,C109+$D$13),IF(B110&lt;=$C$21,IF((DATE(YEAR(C109),MONTH(C109)+1,DAY($C$14))-C109)&gt;=27,IF(WEEKDAY(DATE(YEAR(C109),MONTH(C109)+1,DAY($C$14)))=1,DATE(YEAR(C109),MONTH(C109)+1,DAY($C$14)+1),DATE(YEAR(C109),MONTH(C109)+1,DAY($C$14))),DATE(YEAR(C109),MONTH(C109)+2,DAY($C$14))),"")))</f>
        <v/>
      </c>
      <c r="D110" s="6" t="str">
        <f t="shared" si="44"/>
        <v/>
      </c>
      <c r="E110" s="4" t="str">
        <f t="shared" si="45"/>
        <v/>
      </c>
      <c r="F110" s="4">
        <f>IF($C$23=0,0,IF(OR(Listas!$K$6=Listas!$L$3,Listas!$K$6=Listas!$L$4),0,IF($C$23="",0,IF(Listas!$D$5=Listas!$C$3,ROUND(IF(B110&lt;=$C$21,IF(ROUND((D109/$T$120)*$C$23*Q110,2)&lt;(1/$T$120),ROUND((1/$T$120),2),ROUND((D109/$T$120)*$C$23,2)*Q110),0),2),IF(Listas!$D$5=Listas!$C$2,ROUND(IF(B110&lt;=$C$21,IF(ROUND(D109*$C$23*Q110,2)&lt;1,1,ROUND(D109*$C$23,2)*Q110),0),2))))))</f>
        <v>0</v>
      </c>
      <c r="G110" s="6" t="str">
        <f t="shared" si="46"/>
        <v/>
      </c>
      <c r="H110" s="6"/>
      <c r="I110" s="6">
        <f t="shared" si="47"/>
        <v>0</v>
      </c>
      <c r="J110" s="5">
        <f t="shared" si="48"/>
        <v>0</v>
      </c>
      <c r="K110" s="126">
        <f t="shared" si="57"/>
        <v>0</v>
      </c>
      <c r="L110" s="5">
        <f t="shared" si="49"/>
        <v>0</v>
      </c>
      <c r="M110" s="5">
        <f t="shared" si="30"/>
        <v>0</v>
      </c>
      <c r="N110" s="5">
        <f t="shared" si="58"/>
        <v>0</v>
      </c>
      <c r="O110" s="81">
        <f t="shared" si="50"/>
        <v>0</v>
      </c>
      <c r="P110" s="81">
        <f t="shared" si="59"/>
        <v>0</v>
      </c>
      <c r="Q110" s="82">
        <f>IF(Listas!$H$21=Listas!$I$15,1,IF(B110&lt;=$C$21,ROUND((EOMONTH(A110,0)-EOMONTH(A109,0))/30,0),0))</f>
        <v>0</v>
      </c>
      <c r="R110" s="138"/>
      <c r="S110" s="179" t="str">
        <f t="shared" si="34"/>
        <v/>
      </c>
      <c r="T110" s="179"/>
      <c r="U110" s="140" t="str">
        <f t="shared" si="35"/>
        <v/>
      </c>
      <c r="V110" s="141" t="str">
        <f t="shared" si="36"/>
        <v/>
      </c>
      <c r="W110" s="141" t="str">
        <f>IF(U109="","",IF(U110="",SUM($W$42:W109),IF(U110=$C$21,V109,Z110-X110-Y110)))</f>
        <v/>
      </c>
      <c r="X110" s="142" t="str">
        <f>IF(U109="","",IF(U110="",SUM($X$42:X109),ROUND(((1+$C$24)^(AG110/30)-1)*V109,2)))</f>
        <v/>
      </c>
      <c r="Y110" s="142">
        <f>IF($C$23=0,0,IF(OR(Listas!$K$6=Listas!$L$3,Listas!$K$6=Listas!$L$4),0,IF($C$23="",0,IF(Listas!$D$5=Listas!$C$3,ROUND(IF(U110&lt;=$C$21,IF(ROUND((V109/$T$120)*$C$23*AI110,2)&lt;(1/$T$120),ROUND((1/$T$120),2),ROUND((V109/$T$120)*$C$23,2)*AI110),0),2),IF(Listas!$D$5=Listas!$C$2,ROUND(IF(U110&lt;=$C$21,IF(ROUND(V109*$C$23*AI110,2)&lt;1,1,ROUND(V109*$C$23,2)*AI110),0),2))))))</f>
        <v>0</v>
      </c>
      <c r="Z110" s="141" t="str">
        <f>IF(U109="","",IF(U110="",SUM($Z$42:Z109),IF(U110=$C$21,SUM(W110,X110,Y110,AQ110),IF(U110&lt;$C$21,$C$34,0))))</f>
        <v/>
      </c>
      <c r="AA110" s="141" t="str">
        <f>IF(U109="","",IF(U110="",SUM($AA$42:AA109),IF(U110&lt;=$C$21,$C$17,0)))</f>
        <v/>
      </c>
      <c r="AB110" s="141">
        <f t="shared" si="53"/>
        <v>0</v>
      </c>
      <c r="AC110" s="109"/>
      <c r="AD110" s="139" t="str">
        <f t="shared" si="42"/>
        <v/>
      </c>
      <c r="AE110" s="40">
        <f t="shared" si="43"/>
        <v>0</v>
      </c>
      <c r="AG110" s="5">
        <f t="shared" si="54"/>
        <v>0</v>
      </c>
      <c r="AH110" s="5">
        <f t="shared" si="51"/>
        <v>0</v>
      </c>
      <c r="AI110" s="82">
        <f>IF(Listas!$H$21=Listas!$I$17,1,IF(U110&lt;=$C$21,ROUND((EOMONTH(S110,0)-EOMONTH(S109,0))/30,0),0))</f>
        <v>0</v>
      </c>
      <c r="AL110" s="77">
        <f t="shared" si="52"/>
        <v>0</v>
      </c>
      <c r="AP110" s="6">
        <f t="shared" si="55"/>
        <v>0</v>
      </c>
      <c r="AQ110" s="5">
        <f t="shared" si="56"/>
        <v>0</v>
      </c>
    </row>
    <row r="111" spans="1:43">
      <c r="A111" s="77" t="str">
        <f>IF(IFERROR(VLOOKUP(C111,Listas!AT:AV,3,FALSE),0)=1,IF(WEEKDAY(C111+1)=7,C111+2,C111+1),C111)</f>
        <v/>
      </c>
      <c r="B111" s="5">
        <v>70</v>
      </c>
      <c r="C111" s="80" t="str">
        <f>IF(B111&gt;$C$21,"",IF(Listas!$I$21=Listas!$I$17,IF(WEEKDAY(C110+$D$13)=1,C110+$D$13+1,C110+$D$13),IF(B111&lt;=$C$21,IF((DATE(YEAR(C110),MONTH(C110)+1,DAY($C$14))-C110)&gt;=27,IF(WEEKDAY(DATE(YEAR(C110),MONTH(C110)+1,DAY($C$14)))=1,DATE(YEAR(C110),MONTH(C110)+1,DAY($C$14)+1),DATE(YEAR(C110),MONTH(C110)+1,DAY($C$14))),DATE(YEAR(C110),MONTH(C110)+2,DAY($C$14))),"")))</f>
        <v/>
      </c>
      <c r="D111" s="6" t="str">
        <f t="shared" si="44"/>
        <v/>
      </c>
      <c r="E111" s="4" t="str">
        <f t="shared" si="45"/>
        <v/>
      </c>
      <c r="F111" s="4">
        <f>IF($C$23=0,0,IF(OR(Listas!$K$6=Listas!$L$3,Listas!$K$6=Listas!$L$4),0,IF($C$23="",0,IF(Listas!$D$5=Listas!$C$3,ROUND(IF(B111&lt;=$C$21,IF(ROUND((D110/$T$120)*$C$23*Q111,2)&lt;(1/$T$120),ROUND((1/$T$120),2),ROUND((D110/$T$120)*$C$23,2)*Q111),0),2),IF(Listas!$D$5=Listas!$C$2,ROUND(IF(B111&lt;=$C$21,IF(ROUND(D110*$C$23*Q111,2)&lt;1,1,ROUND(D110*$C$23,2)*Q111),0),2))))))</f>
        <v>0</v>
      </c>
      <c r="G111" s="6" t="str">
        <f t="shared" si="46"/>
        <v/>
      </c>
      <c r="H111" s="6"/>
      <c r="I111" s="6">
        <f t="shared" si="47"/>
        <v>0</v>
      </c>
      <c r="J111" s="5">
        <f t="shared" si="48"/>
        <v>0</v>
      </c>
      <c r="K111" s="126">
        <f t="shared" si="57"/>
        <v>0</v>
      </c>
      <c r="L111" s="5">
        <f t="shared" si="49"/>
        <v>0</v>
      </c>
      <c r="M111" s="5">
        <f t="shared" si="30"/>
        <v>0</v>
      </c>
      <c r="N111" s="5">
        <f t="shared" si="58"/>
        <v>0</v>
      </c>
      <c r="O111" s="81">
        <f t="shared" si="50"/>
        <v>0</v>
      </c>
      <c r="P111" s="81">
        <f t="shared" si="59"/>
        <v>0</v>
      </c>
      <c r="Q111" s="82">
        <f>IF(Listas!$H$21=Listas!$I$15,1,IF(B111&lt;=$C$21,ROUND((EOMONTH(A111,0)-EOMONTH(A110,0))/30,0),0))</f>
        <v>0</v>
      </c>
      <c r="R111" s="138"/>
      <c r="S111" s="179" t="str">
        <f t="shared" si="34"/>
        <v/>
      </c>
      <c r="T111" s="179"/>
      <c r="U111" s="140" t="str">
        <f t="shared" si="35"/>
        <v/>
      </c>
      <c r="V111" s="141" t="str">
        <f t="shared" si="36"/>
        <v/>
      </c>
      <c r="W111" s="141" t="str">
        <f>IF(U110="","",IF(U111="",SUM($W$42:W110),IF(U111=$C$21,V110,Z111-X111-Y111)))</f>
        <v/>
      </c>
      <c r="X111" s="142" t="str">
        <f>IF(U110="","",IF(U111="",SUM($X$42:X110),ROUND(((1+$C$24)^(AG111/30)-1)*V110,2)))</f>
        <v/>
      </c>
      <c r="Y111" s="142">
        <f>IF($C$23=0,0,IF(OR(Listas!$K$6=Listas!$L$3,Listas!$K$6=Listas!$L$4),0,IF($C$23="",0,IF(Listas!$D$5=Listas!$C$3,ROUND(IF(U111&lt;=$C$21,IF(ROUND((V110/$T$120)*$C$23*AI111,2)&lt;(1/$T$120),ROUND((1/$T$120),2),ROUND((V110/$T$120)*$C$23,2)*AI111),0),2),IF(Listas!$D$5=Listas!$C$2,ROUND(IF(U111&lt;=$C$21,IF(ROUND(V110*$C$23*AI111,2)&lt;1,1,ROUND(V110*$C$23,2)*AI111),0),2))))))</f>
        <v>0</v>
      </c>
      <c r="Z111" s="141" t="str">
        <f>IF(U110="","",IF(U111="",SUM($Z$42:Z110),IF(U111=$C$21,SUM(W111,X111,Y111,AQ111),IF(U111&lt;$C$21,$C$34,0))))</f>
        <v/>
      </c>
      <c r="AA111" s="141" t="str">
        <f>IF(U110="","",IF(U111="",SUM($AA$42:AA110),IF(U111&lt;=$C$21,$C$17,0)))</f>
        <v/>
      </c>
      <c r="AB111" s="141">
        <f t="shared" si="53"/>
        <v>0</v>
      </c>
      <c r="AC111" s="109"/>
      <c r="AD111" s="139" t="str">
        <f t="shared" si="42"/>
        <v/>
      </c>
      <c r="AE111" s="40">
        <f t="shared" si="43"/>
        <v>0</v>
      </c>
      <c r="AG111" s="5">
        <f t="shared" si="54"/>
        <v>0</v>
      </c>
      <c r="AH111" s="5">
        <f t="shared" si="51"/>
        <v>0</v>
      </c>
      <c r="AI111" s="82">
        <f>IF(Listas!$H$21=Listas!$I$17,1,IF(U111&lt;=$C$21,ROUND((EOMONTH(S111,0)-EOMONTH(S110,0))/30,0),0))</f>
        <v>0</v>
      </c>
      <c r="AL111" s="77">
        <f t="shared" si="52"/>
        <v>0</v>
      </c>
      <c r="AP111" s="6">
        <f t="shared" si="55"/>
        <v>0</v>
      </c>
      <c r="AQ111" s="5">
        <f t="shared" si="56"/>
        <v>0</v>
      </c>
    </row>
    <row r="112" spans="1:43">
      <c r="A112" s="77" t="str">
        <f>IF(IFERROR(VLOOKUP(C112,Listas!AT:AV,3,FALSE),0)=1,IF(WEEKDAY(C112+1)=7,C112+2,C112+1),C112)</f>
        <v/>
      </c>
      <c r="B112" s="5">
        <v>71</v>
      </c>
      <c r="C112" s="80" t="str">
        <f>IF(B112&gt;$C$21,"",IF(Listas!$I$21=Listas!$I$17,IF(WEEKDAY(C111+$D$13)=1,C111+$D$13+1,C111+$D$13),IF(B112&lt;=$C$21,IF((DATE(YEAR(C111),MONTH(C111)+1,DAY($C$14))-C111)&gt;=27,IF(WEEKDAY(DATE(YEAR(C111),MONTH(C111)+1,DAY($C$14)))=1,DATE(YEAR(C111),MONTH(C111)+1,DAY($C$14)+1),DATE(YEAR(C111),MONTH(C111)+1,DAY($C$14))),DATE(YEAR(C111),MONTH(C111)+2,DAY($C$14))),"")))</f>
        <v/>
      </c>
      <c r="D112" s="6" t="str">
        <f t="shared" ref="D112:D113" si="60">IF(B112&lt;=$C$21,D111-G112,"")</f>
        <v/>
      </c>
      <c r="E112" s="4" t="str">
        <f t="shared" ref="E112:E113" si="61">IFERROR(ROUND(((1+$C$24)^(L112/30)-1)*D111,2),"")</f>
        <v/>
      </c>
      <c r="F112" s="4">
        <f>IF($C$23=0,0,IF(OR(Listas!$K$6=Listas!$L$3,Listas!$K$6=Listas!$L$4),0,IF($C$23="",0,IF(Listas!$D$5=Listas!$C$3,ROUND(IF(B112&lt;=$C$21,IF(ROUND((D111/$T$120)*$C$23*Q112,2)&lt;(1/$T$120),ROUND((1/$T$120),2),ROUND((D111/$T$120)*$C$23,2)*Q112),0),2),IF(Listas!$D$5=Listas!$C$2,ROUND(IF(B112&lt;=$C$21,IF(ROUND(D111*$C$23*Q112,2)&lt;1,1,ROUND(D111*$C$23,2)*Q112),0),2))))))</f>
        <v>0</v>
      </c>
      <c r="G112" s="6" t="str">
        <f t="shared" ref="G112:G113" si="62">IF(B112&gt;$C$21,D111,I112-E112-F112-H112)</f>
        <v/>
      </c>
      <c r="H112" s="6"/>
      <c r="I112" s="6">
        <f t="shared" ref="I112:I113" si="63">IF(B112&lt;=$C$21,$C$32,0)</f>
        <v>0</v>
      </c>
      <c r="J112" s="5">
        <f t="shared" ref="J112:J113" si="64">IF(B112&lt;=$C$21,$C$15,0)</f>
        <v>0</v>
      </c>
      <c r="K112" s="126">
        <f t="shared" si="57"/>
        <v>0</v>
      </c>
      <c r="L112" s="5">
        <f t="shared" ref="L112:L113" si="65">IF(B112&lt;=$C$21,A112-A111,0)</f>
        <v>0</v>
      </c>
      <c r="M112" s="5">
        <f t="shared" si="30"/>
        <v>0</v>
      </c>
      <c r="N112" s="5">
        <f t="shared" si="58"/>
        <v>0</v>
      </c>
      <c r="O112" s="81">
        <f t="shared" ref="O112:O113" si="66">IF(B112&lt;=$C$21,ROUND((1+$C$25)^(N112/30),6),0)</f>
        <v>0</v>
      </c>
      <c r="P112" s="81">
        <f t="shared" si="59"/>
        <v>0</v>
      </c>
      <c r="Q112" s="82">
        <f>IF(Listas!$H$21=Listas!$I$15,1,IF(B112&lt;=$C$21,ROUND((EOMONTH(A112,0)-EOMONTH(A111,0))/30,0),0))</f>
        <v>0</v>
      </c>
      <c r="R112" s="138"/>
      <c r="S112" s="179" t="str">
        <f t="shared" si="34"/>
        <v/>
      </c>
      <c r="T112" s="179"/>
      <c r="U112" s="140" t="str">
        <f t="shared" si="35"/>
        <v/>
      </c>
      <c r="V112" s="141" t="str">
        <f t="shared" si="36"/>
        <v/>
      </c>
      <c r="W112" s="141" t="str">
        <f>IF(U111="","",IF(U112="",SUM($W$42:W111),IF(U112=$C$21,V111,Z112-X112-Y112)))</f>
        <v/>
      </c>
      <c r="X112" s="142" t="str">
        <f>IF(U111="","",IF(U112="",SUM($X$42:X111),ROUND(((1+$C$24)^(AG112/30)-1)*V111,2)))</f>
        <v/>
      </c>
      <c r="Y112" s="142">
        <f>IF($C$23=0,0,IF(OR(Listas!$K$6=Listas!$L$3,Listas!$K$6=Listas!$L$4),0,IF($C$23="",0,IF(Listas!$D$5=Listas!$C$3,ROUND(IF(U112&lt;=$C$21,IF(ROUND((V111/$T$120)*$C$23*AI112,2)&lt;(1/$T$120),ROUND((1/$T$120),2),ROUND((V111/$T$120)*$C$23,2)*AI112),0),2),IF(Listas!$D$5=Listas!$C$2,ROUND(IF(U112&lt;=$C$21,IF(ROUND(V111*$C$23*AI112,2)&lt;1,1,ROUND(V111*$C$23,2)*AI112),0),2))))))</f>
        <v>0</v>
      </c>
      <c r="Z112" s="141" t="str">
        <f>IF(U111="","",IF(U112="",SUM($Z$42:Z111),IF(U112=$C$21,SUM(W112,X112,Y112,AQ112),IF(U112&lt;$C$21,$C$34,0))))</f>
        <v/>
      </c>
      <c r="AA112" s="141" t="str">
        <f>IF(U111="","",IF(U112="",SUM($AA$42:AA111),IF(U112&lt;=$C$21,$C$17,0)))</f>
        <v/>
      </c>
      <c r="AB112" s="141">
        <f t="shared" si="53"/>
        <v>0</v>
      </c>
      <c r="AC112" s="109"/>
      <c r="AD112" s="139" t="str">
        <f t="shared" si="42"/>
        <v/>
      </c>
      <c r="AE112" s="40">
        <f t="shared" si="43"/>
        <v>0</v>
      </c>
      <c r="AG112" s="5">
        <f t="shared" si="54"/>
        <v>0</v>
      </c>
      <c r="AH112" s="5">
        <f t="shared" ref="AH112:AH113" si="67">AH111-AG112</f>
        <v>0</v>
      </c>
      <c r="AI112" s="82">
        <f>IF(Listas!$H$21=Listas!$I$17,1,IF(U112&lt;=$C$21,ROUND((EOMONTH(S112,0)-EOMONTH(S111,0))/30,0),0))</f>
        <v>0</v>
      </c>
      <c r="AL112" s="77">
        <f t="shared" si="52"/>
        <v>0</v>
      </c>
      <c r="AP112" s="6">
        <f t="shared" si="55"/>
        <v>0</v>
      </c>
      <c r="AQ112" s="5">
        <f t="shared" ref="AQ112:AQ113" si="68">IF(U112&lt;=$C$21,$C$15,0)</f>
        <v>0</v>
      </c>
    </row>
    <row r="113" spans="1:43">
      <c r="A113" s="77" t="str">
        <f>IF(IFERROR(VLOOKUP(C113,Listas!AT:AV,3,FALSE),0)=1,IF(WEEKDAY(C113+1)=7,C113+2,C113+1),C113)</f>
        <v/>
      </c>
      <c r="B113" s="5">
        <v>72</v>
      </c>
      <c r="C113" s="80" t="str">
        <f>IF(B113&gt;$C$21,"",IF(Listas!$I$21=Listas!$I$17,IF(WEEKDAY(C112+$D$13)=1,C112+$D$13+1,C112+$D$13),IF(B113&lt;=$C$21,IF((DATE(YEAR(C112),MONTH(C112)+1,DAY($C$14))-C112)&gt;=27,IF(WEEKDAY(DATE(YEAR(C112),MONTH(C112)+1,DAY($C$14)))=1,DATE(YEAR(C112),MONTH(C112)+1,DAY($C$14)+1),DATE(YEAR(C112),MONTH(C112)+1,DAY($C$14))),DATE(YEAR(C112),MONTH(C112)+2,DAY($C$14))),"")))</f>
        <v/>
      </c>
      <c r="D113" s="6" t="str">
        <f t="shared" si="60"/>
        <v/>
      </c>
      <c r="E113" s="4" t="str">
        <f t="shared" si="61"/>
        <v/>
      </c>
      <c r="F113" s="4">
        <f>IF($C$23=0,0,IF(OR(Listas!$K$6=Listas!$L$3,Listas!$K$6=Listas!$L$4),0,IF($C$23="",0,IF(Listas!$D$5=Listas!$C$3,ROUND(IF(B113&lt;=$C$21,IF(ROUND((D112/$T$120)*$C$23*Q113,2)&lt;(1/$T$120),ROUND((1/$T$120),2),ROUND((D112/$T$120)*$C$23,2)*Q113),0),2),IF(Listas!$D$5=Listas!$C$2,ROUND(IF(B113&lt;=$C$21,IF(ROUND(D112*$C$23*Q113,2)&lt;1,1,ROUND(D112*$C$23,2)*Q113),0),2))))))</f>
        <v>0</v>
      </c>
      <c r="G113" s="6" t="str">
        <f t="shared" si="62"/>
        <v/>
      </c>
      <c r="H113" s="6"/>
      <c r="I113" s="6">
        <f t="shared" si="63"/>
        <v>0</v>
      </c>
      <c r="J113" s="5">
        <f t="shared" si="64"/>
        <v>0</v>
      </c>
      <c r="K113" s="126">
        <f t="shared" si="57"/>
        <v>0</v>
      </c>
      <c r="L113" s="5">
        <f t="shared" si="65"/>
        <v>0</v>
      </c>
      <c r="M113" s="5">
        <f t="shared" ref="M113" si="69">IF(B113&lt;=$C$21,A113-A112,0)</f>
        <v>0</v>
      </c>
      <c r="N113" s="5">
        <f t="shared" si="58"/>
        <v>0</v>
      </c>
      <c r="O113" s="81">
        <f t="shared" si="66"/>
        <v>0</v>
      </c>
      <c r="P113" s="81">
        <f t="shared" si="59"/>
        <v>0</v>
      </c>
      <c r="Q113" s="82">
        <f>IF(Listas!$H$21=Listas!$I$15,1,IF(B113&lt;=$C$21,ROUND((EOMONTH(A113,0)-EOMONTH(A112,0))/30,0),0))</f>
        <v>0</v>
      </c>
      <c r="R113" s="138"/>
      <c r="S113" s="179" t="str">
        <f t="shared" si="34"/>
        <v/>
      </c>
      <c r="T113" s="179"/>
      <c r="U113" s="140" t="str">
        <f t="shared" si="35"/>
        <v/>
      </c>
      <c r="V113" s="141" t="str">
        <f t="shared" si="36"/>
        <v/>
      </c>
      <c r="W113" s="141" t="str">
        <f>IF(U112="","",IF(U113="",SUM($W$42:W112),IF(U113=$C$21,V112,Z113-X113-Y113)))</f>
        <v/>
      </c>
      <c r="X113" s="142" t="str">
        <f>IF(U112="","",IF(U113="",SUM($X$42:X112),ROUND(((1+$C$24)^(AG113/30)-1)*V112,2)))</f>
        <v/>
      </c>
      <c r="Y113" s="142">
        <f>IF($C$23=0,0,IF(OR(Listas!$K$6=Listas!$L$3,Listas!$K$6=Listas!$L$4),0,IF($C$23="",0,IF(Listas!$D$5=Listas!$C$3,ROUND(IF(U113&lt;=$C$21,IF(ROUND((V112/$T$120)*$C$23*AI113,2)&lt;(1/$T$120),ROUND((1/$T$120),2),ROUND((V112/$T$120)*$C$23,2)*AI113),0),2),IF(Listas!$D$5=Listas!$C$2,ROUND(IF(U113&lt;=$C$21,IF(ROUND(V112*$C$23*AI113,2)&lt;1,1,ROUND(V112*$C$23,2)*AI113),0),2))))))</f>
        <v>0</v>
      </c>
      <c r="Z113" s="141" t="str">
        <f>IF(U112="","",IF(U113="",SUM($Z$42:Z112),IF(U113=$C$21,SUM(W113,X113,Y113,AQ113),IF(U113&lt;$C$21,$C$34,0))))</f>
        <v/>
      </c>
      <c r="AA113" s="141" t="str">
        <f>IF(U112="","",IF(U113="",SUM($AA$42:AA112),IF(U113&lt;=$C$21,$C$17,0)))</f>
        <v/>
      </c>
      <c r="AB113" s="141">
        <f t="shared" si="53"/>
        <v>0</v>
      </c>
      <c r="AC113" s="109"/>
      <c r="AD113" s="139" t="str">
        <f t="shared" si="42"/>
        <v/>
      </c>
      <c r="AE113" s="40">
        <f t="shared" si="43"/>
        <v>0</v>
      </c>
      <c r="AG113" s="5">
        <f t="shared" si="54"/>
        <v>0</v>
      </c>
      <c r="AH113" s="5">
        <f t="shared" si="67"/>
        <v>0</v>
      </c>
      <c r="AI113" s="82">
        <f>IF(Listas!$H$21=Listas!$I$17,1,IF(U113&lt;=$C$21,ROUND((EOMONTH(S113,0)-EOMONTH(S112,0))/30,0),0))</f>
        <v>0</v>
      </c>
      <c r="AL113" s="77">
        <f t="shared" si="52"/>
        <v>0</v>
      </c>
      <c r="AP113" s="6">
        <f t="shared" si="55"/>
        <v>0</v>
      </c>
      <c r="AQ113" s="5">
        <f t="shared" si="68"/>
        <v>0</v>
      </c>
    </row>
    <row r="114" spans="1:43" ht="16.5" customHeight="1">
      <c r="A114" s="5"/>
      <c r="B114" s="5"/>
      <c r="C114" s="5"/>
      <c r="D114" s="5"/>
      <c r="E114" s="87">
        <f>SUM(E42:E113)</f>
        <v>185.65</v>
      </c>
      <c r="F114" s="87">
        <f>SUM(F42:F113)</f>
        <v>13.969999999999999</v>
      </c>
      <c r="G114" s="87">
        <f>SUM(G42:G113)</f>
        <v>1499.9999999999998</v>
      </c>
      <c r="H114" s="87"/>
      <c r="I114" s="5"/>
      <c r="J114" s="5"/>
      <c r="K114" s="5">
        <f>SUM(K42:K113)</f>
        <v>325</v>
      </c>
      <c r="L114" s="5">
        <f>SUM(L42:L113)</f>
        <v>269</v>
      </c>
      <c r="M114" s="5">
        <f>SUM(M42:M113)</f>
        <v>269</v>
      </c>
      <c r="N114" s="5"/>
      <c r="O114" s="88">
        <f>SUM(O42:O113)</f>
        <v>8.7169279999999993</v>
      </c>
      <c r="P114" s="88">
        <f>SUM(P42:P113)</f>
        <v>489.49055954000005</v>
      </c>
      <c r="Q114" s="5"/>
      <c r="R114" s="138"/>
      <c r="S114" s="179" t="str">
        <f t="shared" si="34"/>
        <v/>
      </c>
      <c r="T114" s="179"/>
      <c r="U114" s="140" t="str">
        <f t="shared" si="35"/>
        <v/>
      </c>
      <c r="V114" s="141" t="str">
        <f t="shared" si="36"/>
        <v/>
      </c>
      <c r="W114" s="141" t="str">
        <f>IF(U113="","",IF(U114="",SUM($W$42:W113),IF(U114=$C$21,V113,Z114-X114-Y114)))</f>
        <v/>
      </c>
      <c r="X114" s="142" t="str">
        <f>IF(U113="","",IF(U114="",SUM($X$42:X113),ROUND(((1+$C$24)^(AG114/30)-1)*V113,2)))</f>
        <v/>
      </c>
      <c r="Y114" s="142">
        <f>IF($C$23=0,0,IF(OR(Listas!$K$6=Listas!$L$3,Listas!$K$6=Listas!$L$4),0,IF($C$23="",0,IF(Listas!$D$5=Listas!$C$3,ROUND(IF(U114&lt;=$C$21,IF(ROUND((V113/$T$120)*$C$23*AI114,2)&lt;(1/$T$120),ROUND((1/$T$120),2),ROUND((V113/$T$120)*$C$23,2)*AI114),0),2),IF(Listas!$D$5=Listas!$C$2,ROUND(IF(U114&lt;=$C$21,IF(ROUND(V113*$C$23*AI114,2)&lt;1,1,ROUND(V113*$C$23,2)*AI114),0),2))))))</f>
        <v>0</v>
      </c>
      <c r="Z114" s="141" t="str">
        <f>IF(U113="","",IF(U114="",SUM($Z$42:Z113),IF(U114=$C$21,SUM(W114,X114,Y114,AQ114),IF(U114&lt;$C$21,$C$34,0))))</f>
        <v/>
      </c>
      <c r="AA114" s="141" t="str">
        <f>IF(U113="","",IF(U114="",SUM($AA$42:AA113),IF(U114&lt;=$C$21,$C$17,0)))</f>
        <v/>
      </c>
      <c r="AB114" s="141">
        <f t="shared" si="53"/>
        <v>0</v>
      </c>
      <c r="AC114" s="94"/>
      <c r="AD114" s="139" t="str">
        <f t="shared" si="42"/>
        <v/>
      </c>
      <c r="AE114" s="40">
        <f t="shared" si="43"/>
        <v>0</v>
      </c>
      <c r="AG114" s="5"/>
      <c r="AH114" s="88">
        <f>SUM(AH42:AH101)</f>
        <v>859</v>
      </c>
      <c r="AI114" s="82"/>
      <c r="AL114" s="77">
        <f t="shared" si="52"/>
        <v>0</v>
      </c>
      <c r="AM114" s="87"/>
      <c r="AP114" s="6">
        <f t="shared" si="55"/>
        <v>0</v>
      </c>
    </row>
    <row r="115" spans="1:43">
      <c r="K115" s="127">
        <f>K114/C21</f>
        <v>40.625</v>
      </c>
      <c r="L115" s="125">
        <f>L114/C21</f>
        <v>33.625</v>
      </c>
      <c r="M115" s="125"/>
      <c r="R115" s="94"/>
      <c r="S115" s="94"/>
      <c r="T115" s="94"/>
      <c r="U115" s="94"/>
      <c r="V115" s="94"/>
      <c r="W115" s="94"/>
      <c r="X115" s="94"/>
      <c r="Y115" s="94"/>
      <c r="Z115" s="94"/>
      <c r="AA115" s="94"/>
      <c r="AB115" s="94"/>
      <c r="AC115" s="94"/>
    </row>
    <row r="116" spans="1:43" ht="39" customHeight="1">
      <c r="L116" s="40">
        <f>SUMPRODUCT(P42:P113,L42:L113)/P114</f>
        <v>44.106717149783414</v>
      </c>
      <c r="R116" s="191" t="s">
        <v>154</v>
      </c>
      <c r="S116" s="191"/>
      <c r="T116" s="191"/>
      <c r="U116" s="191"/>
      <c r="V116" s="191"/>
      <c r="W116" s="191"/>
      <c r="X116" s="191"/>
      <c r="Y116" s="191"/>
      <c r="Z116" s="191"/>
      <c r="AA116" s="191"/>
      <c r="AB116" s="191"/>
      <c r="AC116" s="94"/>
      <c r="AO116" s="5" t="s">
        <v>21</v>
      </c>
      <c r="AP116" s="89">
        <f>XIRR(AP41:AP113,AL41:AL113)</f>
        <v>0.3305749833583832</v>
      </c>
    </row>
    <row r="117" spans="1:43" ht="53.25" customHeight="1">
      <c r="R117" s="191"/>
      <c r="S117" s="191"/>
      <c r="T117" s="191"/>
      <c r="U117" s="191"/>
      <c r="V117" s="191"/>
      <c r="W117" s="191"/>
      <c r="X117" s="191"/>
      <c r="Y117" s="191"/>
      <c r="Z117" s="191"/>
      <c r="AA117" s="191"/>
      <c r="AB117" s="191"/>
      <c r="AC117" s="94"/>
      <c r="AO117" s="5" t="s">
        <v>22</v>
      </c>
      <c r="AP117" s="57">
        <f>(1+AP116)^(360/365)-1</f>
        <v>0.32537930365908974</v>
      </c>
    </row>
    <row r="118" spans="1:43" ht="96.75" customHeight="1">
      <c r="C118" s="66" t="s">
        <v>28</v>
      </c>
      <c r="D118" s="90">
        <f>MIN(D41:D113)</f>
        <v>-0.88415619327710715</v>
      </c>
      <c r="R118" s="191"/>
      <c r="S118" s="191"/>
      <c r="T118" s="191"/>
      <c r="U118" s="191"/>
      <c r="V118" s="191"/>
      <c r="W118" s="191"/>
      <c r="X118" s="191"/>
      <c r="Y118" s="191"/>
      <c r="Z118" s="191"/>
      <c r="AA118" s="191"/>
      <c r="AB118" s="191"/>
      <c r="AC118" s="94"/>
      <c r="AO118" s="5" t="s">
        <v>23</v>
      </c>
      <c r="AP118" s="57">
        <f>ROUND((1+AP117)^(1/12)-1,4)</f>
        <v>2.3800000000000002E-2</v>
      </c>
    </row>
    <row r="119" spans="1:43">
      <c r="AO119" s="5" t="s">
        <v>37</v>
      </c>
      <c r="AP119" s="57">
        <f>(1+AP118)^(12)-1</f>
        <v>0.32611596208956373</v>
      </c>
    </row>
    <row r="226" spans="12:13">
      <c r="L226" s="48"/>
      <c r="M226" s="48"/>
    </row>
  </sheetData>
  <sheetProtection algorithmName="SHA-512" hashValue="q5RWMyhTbUiqzvpukuYl8Yo4JsDl9pE19XTOGEDeFpeUWQ7rLS9vzSlQIorOU5Yn7nVhQYJLr+daeYYxhMjukA==" saltValue="halCZAf2AnIOwLSg5o75gg==" spinCount="100000" sheet="1" objects="1" scenarios="1"/>
  <customSheetViews>
    <customSheetView guid="{52987596-9B8D-4CD9-8760-D388E3918C22}" scale="85" showPageBreaks="1" showGridLines="0" showRowCol="0" printArea="1" hiddenRows="1" hiddenColumns="1" view="pageBreakPreview" topLeftCell="P1">
      <selection activeCell="X2" sqref="X2"/>
      <pageMargins left="0.29340277777777779" right="0.12083333333333333" top="0.75" bottom="0.75" header="0.3" footer="0.3"/>
      <pageSetup paperSize="9" scale="65" orientation="portrait" r:id="rId1"/>
    </customSheetView>
  </customSheetViews>
  <mergeCells count="112">
    <mergeCell ref="S1:W2"/>
    <mergeCell ref="AH10:AI10"/>
    <mergeCell ref="AH6:AI6"/>
    <mergeCell ref="AH2:AI2"/>
    <mergeCell ref="X8:Z8"/>
    <mergeCell ref="X4:Z4"/>
    <mergeCell ref="X5:Z5"/>
    <mergeCell ref="X6:Z6"/>
    <mergeCell ref="X7:Z7"/>
    <mergeCell ref="S4:T4"/>
    <mergeCell ref="S5:T5"/>
    <mergeCell ref="S6:T6"/>
    <mergeCell ref="S7:T7"/>
    <mergeCell ref="S8:T8"/>
    <mergeCell ref="S9:T9"/>
    <mergeCell ref="U9:V9"/>
    <mergeCell ref="U10:V10"/>
    <mergeCell ref="U4:V4"/>
    <mergeCell ref="U5:V5"/>
    <mergeCell ref="U6:V6"/>
    <mergeCell ref="U7:V7"/>
    <mergeCell ref="U8:V8"/>
    <mergeCell ref="S3:T3"/>
    <mergeCell ref="U3:V3"/>
    <mergeCell ref="R116:AB118"/>
    <mergeCell ref="S13:T13"/>
    <mergeCell ref="U13:V13"/>
    <mergeCell ref="S61:T61"/>
    <mergeCell ref="S50:T50"/>
    <mergeCell ref="S51:T51"/>
    <mergeCell ref="S52:T52"/>
    <mergeCell ref="S53:T53"/>
    <mergeCell ref="S54:T54"/>
    <mergeCell ref="S55:T55"/>
    <mergeCell ref="S56:T56"/>
    <mergeCell ref="S57:T57"/>
    <mergeCell ref="S58:T58"/>
    <mergeCell ref="S49:T49"/>
    <mergeCell ref="S41:T41"/>
    <mergeCell ref="S42:T42"/>
    <mergeCell ref="S14:T14"/>
    <mergeCell ref="U14:V14"/>
    <mergeCell ref="S39:AB39"/>
    <mergeCell ref="S80:T80"/>
    <mergeCell ref="S81:T81"/>
    <mergeCell ref="S82:T82"/>
    <mergeCell ref="S83:T83"/>
    <mergeCell ref="S84:T84"/>
    <mergeCell ref="S11:T11"/>
    <mergeCell ref="S12:T12"/>
    <mergeCell ref="S10:T10"/>
    <mergeCell ref="S48:T48"/>
    <mergeCell ref="S31:AB31"/>
    <mergeCell ref="U11:V11"/>
    <mergeCell ref="U12:V12"/>
    <mergeCell ref="S59:T59"/>
    <mergeCell ref="S43:T43"/>
    <mergeCell ref="S44:T44"/>
    <mergeCell ref="S45:T45"/>
    <mergeCell ref="S46:T46"/>
    <mergeCell ref="S47:T47"/>
    <mergeCell ref="S60:T60"/>
    <mergeCell ref="S73:T73"/>
    <mergeCell ref="S62:T62"/>
    <mergeCell ref="S63:T63"/>
    <mergeCell ref="S64:T64"/>
    <mergeCell ref="S65:T65"/>
    <mergeCell ref="S66:T66"/>
    <mergeCell ref="S67:T67"/>
    <mergeCell ref="S68:T68"/>
    <mergeCell ref="S69:T69"/>
    <mergeCell ref="S70:T70"/>
    <mergeCell ref="S71:T71"/>
    <mergeCell ref="S72:T72"/>
    <mergeCell ref="S97:T97"/>
    <mergeCell ref="S86:T86"/>
    <mergeCell ref="S87:T87"/>
    <mergeCell ref="S88:T88"/>
    <mergeCell ref="S89:T89"/>
    <mergeCell ref="S90:T90"/>
    <mergeCell ref="S91:T91"/>
    <mergeCell ref="S85:T85"/>
    <mergeCell ref="S74:T74"/>
    <mergeCell ref="S75:T75"/>
    <mergeCell ref="S76:T76"/>
    <mergeCell ref="S77:T77"/>
    <mergeCell ref="S78:T78"/>
    <mergeCell ref="S79:T79"/>
    <mergeCell ref="S114:T114"/>
    <mergeCell ref="AL6:AM6"/>
    <mergeCell ref="S112:T112"/>
    <mergeCell ref="S113:T113"/>
    <mergeCell ref="S107:T107"/>
    <mergeCell ref="S108:T108"/>
    <mergeCell ref="S109:T109"/>
    <mergeCell ref="S110:T110"/>
    <mergeCell ref="S111:T111"/>
    <mergeCell ref="S102:T102"/>
    <mergeCell ref="S103:T103"/>
    <mergeCell ref="S104:T104"/>
    <mergeCell ref="S105:T105"/>
    <mergeCell ref="S106:T106"/>
    <mergeCell ref="S98:T98"/>
    <mergeCell ref="S99:T99"/>
    <mergeCell ref="S100:T100"/>
    <mergeCell ref="S101:T101"/>
    <mergeCell ref="S40:T40"/>
    <mergeCell ref="S92:T92"/>
    <mergeCell ref="S93:T93"/>
    <mergeCell ref="S94:T94"/>
    <mergeCell ref="S95:T95"/>
    <mergeCell ref="S96:T96"/>
  </mergeCells>
  <phoneticPr fontId="18" type="noConversion"/>
  <conditionalFormatting sqref="S53:AB114">
    <cfRule type="expression" dxfId="2" priority="3">
      <formula>$AD53="Total"</formula>
    </cfRule>
    <cfRule type="expression" dxfId="1" priority="5">
      <formula>$AE53=1</formula>
    </cfRule>
  </conditionalFormatting>
  <conditionalFormatting sqref="S17">
    <cfRule type="expression" dxfId="0" priority="7">
      <formula>$S$17=$AB$17</formula>
    </cfRule>
  </conditionalFormatting>
  <dataValidations count="3">
    <dataValidation type="custom" errorStyle="warning" allowBlank="1" showInputMessage="1" showErrorMessage="1" errorTitle="Cambie Parametro de Monto" error="Revisar el Monto Minimo y Maximo" sqref="U6:V6" xr:uid="{50BE868C-C844-4551-8186-A9146E4B1A61}">
      <formula1>AND(U6&lt;=AI8,U6&gt;=AI7)</formula1>
    </dataValidation>
    <dataValidation type="custom" errorStyle="warning" allowBlank="1" showInputMessage="1" showErrorMessage="1" errorTitle="Cambie Parametro de N° Cuotas" error="Revisar el Minimo y Maximo de Cuotas" sqref="U7:V7" xr:uid="{90BD6C95-48BF-46FB-A7D2-FC72EFC94B8F}">
      <formula1>AND(U7&lt;=AI4,U7&gt;=AI3)</formula1>
    </dataValidation>
    <dataValidation type="custom" errorStyle="warning" allowBlank="1" showInputMessage="1" showErrorMessage="1" errorTitle="Cambie Parametro de Tasa" error="Revisar la Tasa Mínima y Máxima" sqref="U11:V11" xr:uid="{31C2A022-1115-405A-933B-ECD57B7EB6B0}">
      <formula1>AND(U11&lt;=AJ12,U11&gt;=AJ11)</formula1>
    </dataValidation>
  </dataValidations>
  <pageMargins left="0.29340277777777779" right="0.12083333333333333" top="0.75" bottom="0.75" header="0.3" footer="0.3"/>
  <pageSetup paperSize="9" scale="62" orientation="portrait" r:id="rId2"/>
  <rowBreaks count="1" manualBreakCount="1">
    <brk id="83" min="17" max="87" man="1"/>
  </rowBreaks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errorStyle="warning" allowBlank="1" showInputMessage="1" showErrorMessage="1" errorTitle="Revisar Tipo de Seguro Desg." error="Seguro de Desgravamen con Devolución solo aplica a Créditos Individuales" xr:uid="{88C59C55-98D3-4D2A-B0CC-E72660CC8ACC}">
          <x14:formula1>
            <xm:f>Listas!$L$2:$L$5</xm:f>
          </x14:formula1>
          <xm:sqref>U12</xm:sqref>
        </x14:dataValidation>
        <x14:dataValidation type="list" allowBlank="1" showInputMessage="1" showErrorMessage="1" xr:uid="{65D02A82-4FB9-486D-8BF8-E67172980295}">
          <x14:formula1>
            <xm:f>Listas!$D$2:$D$3</xm:f>
          </x14:formula1>
          <xm:sqref>U4:V4</xm:sqref>
        </x14:dataValidation>
        <x14:dataValidation type="list" allowBlank="1" showInputMessage="1" showErrorMessage="1" xr:uid="{FF9475A9-7CB9-416E-B5C5-8621C756728E}">
          <x14:formula1>
            <xm:f>Listas!$O$2:$O$14</xm:f>
          </x14:formula1>
          <xm:sqref>U9</xm:sqref>
        </x14:dataValidation>
        <x14:dataValidation type="list" allowBlank="1" showInputMessage="1" showErrorMessage="1" xr:uid="{C6F0AC86-B1CE-4061-9E7A-D977055328D5}">
          <x14:formula1>
            <xm:f>Listas!$AP$2:$AP$3</xm:f>
          </x14:formula1>
          <xm:sqref>U10</xm:sqref>
        </x14:dataValidation>
        <x14:dataValidation type="list" allowBlank="1" showInputMessage="1" showErrorMessage="1" xr:uid="{54A62824-E1C3-4052-87E6-C364CD87ACA8}">
          <x14:formula1>
            <xm:f>Listas!$V$2:$V$4</xm:f>
          </x14:formula1>
          <xm:sqref>U13</xm:sqref>
        </x14:dataValidation>
        <x14:dataValidation type="list" allowBlank="1" showInputMessage="1" showErrorMessage="1" xr:uid="{5BAB3CEC-8A8F-4B50-9F67-0F963C90F564}">
          <x14:formula1>
            <xm:f>Listas!$AC$2:$AC$10</xm:f>
          </x14:formula1>
          <xm:sqref>U14</xm:sqref>
        </x14:dataValidation>
        <x14:dataValidation type="list" allowBlank="1" showInputMessage="1" showErrorMessage="1" xr:uid="{1C30CA26-78BC-449E-9A3F-6AAD72F91ED9}">
          <x14:formula1>
            <xm:f>Listas!$B$2:$B$3</xm:f>
          </x14:formula1>
          <xm:sqref>U3:V3</xm:sqref>
        </x14:dataValidation>
        <x14:dataValidation type="list" allowBlank="1" showInputMessage="1" showErrorMessage="1" promptTitle="Seleccione el producto" xr:uid="{E3E8E295-ED0F-4C83-B6EF-3EB770E7B46F}">
          <x14:formula1>
            <xm:f>Listas!$H$2:$H$17</xm:f>
          </x14:formula1>
          <xm:sqref>U5:V5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7A98F-5E1B-4C5A-9253-FF1BE5E7B332}">
  <sheetPr codeName="Hoja1"/>
  <dimension ref="A1:AW71"/>
  <sheetViews>
    <sheetView topLeftCell="W1" zoomScale="69" zoomScaleNormal="40" workbookViewId="0">
      <selection activeCell="AJ2" sqref="AJ2"/>
    </sheetView>
  </sheetViews>
  <sheetFormatPr baseColWidth="10" defaultColWidth="10.90625" defaultRowHeight="14.5"/>
  <cols>
    <col min="1" max="1" width="11.1796875" bestFit="1" customWidth="1"/>
    <col min="5" max="7" width="9.36328125" customWidth="1"/>
    <col min="8" max="8" width="17.6328125" customWidth="1"/>
    <col min="9" max="9" width="17.36328125" bestFit="1" customWidth="1"/>
    <col min="10" max="11" width="17.36328125" customWidth="1"/>
    <col min="12" max="14" width="10.54296875" customWidth="1"/>
    <col min="15" max="15" width="14.36328125" bestFit="1" customWidth="1"/>
    <col min="16" max="17" width="15" bestFit="1" customWidth="1"/>
    <col min="21" max="21" width="20.36328125" bestFit="1" customWidth="1"/>
    <col min="22" max="22" width="16.6328125" bestFit="1" customWidth="1"/>
  </cols>
  <sheetData>
    <row r="1" spans="1:49" ht="15" thickBot="1">
      <c r="A1" s="11" t="s">
        <v>96</v>
      </c>
      <c r="B1" s="11" t="s">
        <v>95</v>
      </c>
      <c r="G1" s="14"/>
      <c r="H1" s="14"/>
      <c r="I1" s="14" t="s">
        <v>148</v>
      </c>
      <c r="J1" t="s">
        <v>149</v>
      </c>
      <c r="N1" s="13" t="s">
        <v>96</v>
      </c>
      <c r="O1" s="13" t="s">
        <v>95</v>
      </c>
      <c r="U1" s="13" t="s">
        <v>96</v>
      </c>
      <c r="V1" s="13" t="s">
        <v>95</v>
      </c>
      <c r="AC1" t="s">
        <v>131</v>
      </c>
      <c r="AF1" s="14" t="s">
        <v>133</v>
      </c>
      <c r="AG1" s="14"/>
      <c r="AI1" s="14" t="s">
        <v>137</v>
      </c>
      <c r="AJ1" s="14"/>
      <c r="AL1" s="14" t="s">
        <v>136</v>
      </c>
      <c r="AM1" s="14" t="s">
        <v>4</v>
      </c>
      <c r="AN1" s="165" t="s">
        <v>5</v>
      </c>
      <c r="AP1" t="s">
        <v>141</v>
      </c>
      <c r="AT1" s="1" t="s">
        <v>45</v>
      </c>
      <c r="AU1" s="1"/>
      <c r="AV1" s="1"/>
      <c r="AW1" s="2" t="s">
        <v>60</v>
      </c>
    </row>
    <row r="2" spans="1:49" ht="15" thickBot="1">
      <c r="A2">
        <v>2</v>
      </c>
      <c r="B2" t="s">
        <v>78</v>
      </c>
      <c r="C2">
        <v>1</v>
      </c>
      <c r="D2" s="1" t="s">
        <v>87</v>
      </c>
      <c r="E2" s="7" t="s">
        <v>61</v>
      </c>
      <c r="F2" s="7"/>
      <c r="G2" s="14">
        <v>1</v>
      </c>
      <c r="H2" s="14" t="str">
        <f>IF(AND($B$5=$A$3,$D$5=$C$3),"",IF(AND($D$5=$C$2,$B$5=1),$I$16,IF($D$5=$C$2,I2,J2)))</f>
        <v>VIVIENDA</v>
      </c>
      <c r="I2" s="14" t="s">
        <v>123</v>
      </c>
      <c r="J2" s="14" t="s">
        <v>85</v>
      </c>
      <c r="K2">
        <v>1</v>
      </c>
      <c r="L2" s="7" t="s">
        <v>92</v>
      </c>
      <c r="N2" s="13">
        <v>1</v>
      </c>
      <c r="O2" s="131">
        <f>IF(AND($I$21=$I$17,$U$7=$Y$3),Q34,IF(AND($I$21=$I$17,$U$7=$Y$4),P34,O34))</f>
        <v>2</v>
      </c>
      <c r="P2" s="13">
        <v>1</v>
      </c>
      <c r="Q2" s="14"/>
      <c r="R2" s="14" t="s">
        <v>62</v>
      </c>
      <c r="U2" s="13">
        <v>1</v>
      </c>
      <c r="V2" s="14" t="str">
        <f>IF($I$21=I17,Y3,$Y$2)</f>
        <v>MENSUAL</v>
      </c>
      <c r="X2" s="13"/>
      <c r="Y2" s="14" t="s">
        <v>89</v>
      </c>
      <c r="Z2" s="14"/>
      <c r="AB2">
        <v>1</v>
      </c>
      <c r="AC2" s="33" t="str">
        <f>'Reglas de CI'!B21</f>
        <v>No</v>
      </c>
      <c r="AD2">
        <f>IF(AC2="No",0,AC2)</f>
        <v>0</v>
      </c>
      <c r="AF2" s="14" t="s">
        <v>134</v>
      </c>
      <c r="AG2" s="38">
        <f>IF(I21=I17,VLOOKUP(CONCATENATE(I21,U7),'Tabla Consolidada'!A:K,6,FALSE),VLOOKUP(I21,'Tabla Consolidada'!A:K,6,FALSE))</f>
        <v>6</v>
      </c>
      <c r="AI2" s="14" t="s">
        <v>134</v>
      </c>
      <c r="AJ2" s="38">
        <f>IF(D5=C2,IF(I21=I17,VLOOKUP(CONCATENATE(I21,U7),'Tabla Consolidada'!A:K,4,FALSE),VLOOKUP(I21,'Tabla Consolidada'!A:K,4,FALSE)),IF(I21=I17,VLOOKUP(CONCATENATE(I21,U7),'Tabla Consolidada'!A:M,12,FALSE),VLOOKUP(I21,'Tabla Consolidada'!A:M,12,FALSE)))</f>
        <v>1500</v>
      </c>
      <c r="AL2" s="14" t="s">
        <v>134</v>
      </c>
      <c r="AM2" s="39">
        <f>IF(D5=C2,IF(I21=I17,VLOOKUP(CONCATENATE(I21,U7),'Tabla Consolidada'!A:K,8,FALSE),VLOOKUP(I21,'Tabla Consolidada'!A:K,8,FALSE)),IF(I21=I17,VLOOKUP(CONCATENATE(I21,U7),'Tabla Consolidada'!A:K,10,FALSE),VLOOKUP(I21,'Tabla Consolidada'!A:K,10,FALSE)))</f>
        <v>0.29880000000000001</v>
      </c>
      <c r="AN2" s="39">
        <f>IF(D5=C2,IF(I21=I17,VLOOKUP(CONCATENATE(I21,U7),'Tabla Consolidada'!A:O,14,FALSE),VLOOKUP(I21,'Tabla Consolidada'!A:O,14,FALSE)),IF(I21=I17,VLOOKUP(CONCATENATE(I21,U7),'Tabla Consolidada'!A:O,10,FALSE),VLOOKUP(I21,'Tabla Consolidada'!A:O,10,FALSE)))</f>
        <v>1.719E-2</v>
      </c>
      <c r="AO2">
        <v>1</v>
      </c>
      <c r="AP2" t="s">
        <v>142</v>
      </c>
      <c r="AT2" s="8">
        <v>44197</v>
      </c>
      <c r="AU2" s="9" t="s">
        <v>46</v>
      </c>
      <c r="AV2" s="1">
        <v>1</v>
      </c>
    </row>
    <row r="3" spans="1:49" ht="15" thickBot="1">
      <c r="A3">
        <v>1</v>
      </c>
      <c r="B3" t="s">
        <v>79</v>
      </c>
      <c r="C3">
        <v>2</v>
      </c>
      <c r="D3" s="1" t="s">
        <v>88</v>
      </c>
      <c r="E3" s="7" t="s">
        <v>62</v>
      </c>
      <c r="F3" s="7"/>
      <c r="G3" s="14">
        <v>2</v>
      </c>
      <c r="H3" s="14" t="str">
        <f>IF(AND($B$5=$A$3,$D$5=$C$3),"",IF(AND($D$5=$C$2,$B$5=1),$I$17,IF($D$5=$C$2,I3,J3)))</f>
        <v>LOCAL COMERCIAL</v>
      </c>
      <c r="I3" s="14" t="s">
        <v>161</v>
      </c>
      <c r="J3" s="14" t="s">
        <v>122</v>
      </c>
      <c r="K3">
        <v>2</v>
      </c>
      <c r="L3" s="7" t="s">
        <v>93</v>
      </c>
      <c r="N3" s="13">
        <v>2</v>
      </c>
      <c r="O3" s="131">
        <f t="shared" ref="O3:O14" si="0">IF(AND($I$21=$I$17,$U$7=$Y$3),Q35,IF(AND($I$21=$I$17,$U$7=$Y$4),P35,O35))</f>
        <v>5</v>
      </c>
      <c r="P3" s="13">
        <v>2</v>
      </c>
      <c r="Q3" s="14"/>
      <c r="R3" s="14" t="s">
        <v>67</v>
      </c>
      <c r="U3" s="13">
        <v>2</v>
      </c>
      <c r="V3" s="14" t="str">
        <f>IF($I$21=I17,Y4,"")</f>
        <v/>
      </c>
      <c r="X3" s="13"/>
      <c r="Y3" s="14" t="s">
        <v>90</v>
      </c>
      <c r="Z3" s="14">
        <v>14</v>
      </c>
      <c r="AB3">
        <v>2</v>
      </c>
      <c r="AC3" s="33">
        <f>'Reglas de CI'!B22</f>
        <v>0</v>
      </c>
      <c r="AD3">
        <f t="shared" ref="AD3:AD10" si="1">IF(AC3="No",0,AC3)</f>
        <v>0</v>
      </c>
      <c r="AF3" s="14" t="s">
        <v>135</v>
      </c>
      <c r="AG3" s="38">
        <f>IF(I21=I17,VLOOKUP(CONCATENATE(I21,U7),'Tabla Consolidada'!A:K,7,FALSE),VLOOKUP(I21,'Tabla Consolidada'!A:K,7,FALSE))</f>
        <v>24</v>
      </c>
      <c r="AI3" s="14" t="s">
        <v>135</v>
      </c>
      <c r="AJ3" s="38">
        <f>IF(D5=C2,IF(I21=I17,VLOOKUP(CONCATENATE(I21,U7),'Tabla Consolidada'!A:K,5,FALSE),VLOOKUP(I21,'Tabla Consolidada'!A:K,5,FALSE)),IF(I21=I17,VLOOKUP(CONCATENATE(I21,U7),'Tabla Consolidada'!A:M,13,FALSE),VLOOKUP(I21,'Tabla Consolidada'!A:M,13,FALSE)))</f>
        <v>20000</v>
      </c>
      <c r="AL3" s="14" t="s">
        <v>135</v>
      </c>
      <c r="AM3" s="39">
        <f>IF(D5=C2,IF(I21=I17,VLOOKUP(CONCATENATE(I21,U7),'Tabla Consolidada'!A:K,9,FALSE),VLOOKUP(I21,'Tabla Consolidada'!A:K,9,FALSE)),IF(I21=I17,VLOOKUP(CONCATENATE(I21,U7),'Tabla Consolidada'!A:K,11,FALSE),VLOOKUP(I21,'Tabla Consolidada'!A:K,11,FALSE)))</f>
        <v>1.1315999999999999</v>
      </c>
      <c r="AN3" s="39">
        <f>IF(D5=C2,IF(I21=I17,VLOOKUP(CONCATENATE(I21,U7),'Tabla Consolidada'!A:O,15,FALSE),VLOOKUP(I21,'Tabla Consolidada'!A:O,15,FALSE)),IF(I21=I17,VLOOKUP(CONCATENATE(I21,U7),'Tabla Consolidada'!A:O,10,FALSE),VLOOKUP(I21,'Tabla Consolidada'!A:O,10,FALSE)))</f>
        <v>6.3695000000000002E-2</v>
      </c>
      <c r="AO3">
        <v>2</v>
      </c>
      <c r="AP3" t="s">
        <v>105</v>
      </c>
      <c r="AT3" s="8">
        <v>44242</v>
      </c>
      <c r="AU3" s="9" t="s">
        <v>47</v>
      </c>
      <c r="AV3" s="1">
        <v>1</v>
      </c>
    </row>
    <row r="4" spans="1:49" ht="15" thickBot="1">
      <c r="G4" s="14">
        <v>3</v>
      </c>
      <c r="H4" s="14" t="str">
        <f t="shared" ref="H4:H15" si="2">IF(AND($B$5=$A$3,$D$5=$C$3),"",IF(AND($D$5=$C$2,$B$5=1),"",IF($D$5=$C$2,I4,J4)))</f>
        <v>EFECTIVO</v>
      </c>
      <c r="I4" s="14" t="s">
        <v>81</v>
      </c>
      <c r="J4" s="14" t="s">
        <v>86</v>
      </c>
      <c r="K4">
        <v>3</v>
      </c>
      <c r="L4" s="7" t="s">
        <v>94</v>
      </c>
      <c r="N4" s="13">
        <v>3</v>
      </c>
      <c r="O4" s="131">
        <f t="shared" si="0"/>
        <v>7</v>
      </c>
      <c r="P4" s="13">
        <v>3</v>
      </c>
      <c r="Q4" s="14"/>
      <c r="R4" s="14" t="s">
        <v>68</v>
      </c>
      <c r="U4" s="14"/>
      <c r="V4" s="14"/>
      <c r="X4" s="14"/>
      <c r="Y4" s="14" t="s">
        <v>91</v>
      </c>
      <c r="Z4" s="14">
        <v>28</v>
      </c>
      <c r="AB4">
        <v>3</v>
      </c>
      <c r="AC4" s="33">
        <f>'Reglas de CI'!B23</f>
        <v>0</v>
      </c>
      <c r="AD4">
        <f t="shared" si="1"/>
        <v>0</v>
      </c>
      <c r="AT4" s="8">
        <v>44287</v>
      </c>
      <c r="AU4" s="9" t="s">
        <v>48</v>
      </c>
      <c r="AV4" s="1">
        <v>1</v>
      </c>
    </row>
    <row r="5" spans="1:49" ht="24" thickBot="1">
      <c r="A5" s="12" t="str">
        <f>'Simulador '!U3</f>
        <v>INDIVIDUAL</v>
      </c>
      <c r="B5" s="116">
        <f>_xlfn.XLOOKUP(A5,B2:B3,A2:A3,"x",0,1)</f>
        <v>2</v>
      </c>
      <c r="D5" s="116">
        <f>_xlfn.XLOOKUP(D6,D2:D3,C2:C3,"x",0,1)</f>
        <v>1</v>
      </c>
      <c r="G5" s="14">
        <v>4</v>
      </c>
      <c r="H5" s="14" t="str">
        <f t="shared" si="2"/>
        <v>SUPERFACIL</v>
      </c>
      <c r="I5" s="14" t="s">
        <v>82</v>
      </c>
      <c r="J5" s="14" t="s">
        <v>161</v>
      </c>
      <c r="K5">
        <v>4</v>
      </c>
      <c r="L5" t="s">
        <v>156</v>
      </c>
      <c r="N5" s="13">
        <v>4</v>
      </c>
      <c r="O5" s="131">
        <f t="shared" si="0"/>
        <v>9</v>
      </c>
      <c r="P5" s="13">
        <v>4</v>
      </c>
      <c r="Q5" s="14"/>
      <c r="R5" s="14" t="s">
        <v>69</v>
      </c>
      <c r="U5" s="14"/>
      <c r="V5" s="14"/>
      <c r="X5" s="32"/>
      <c r="Y5" s="32"/>
      <c r="Z5" s="32"/>
      <c r="AB5">
        <v>4</v>
      </c>
      <c r="AC5" s="33">
        <f>'Reglas de CI'!B24</f>
        <v>0</v>
      </c>
      <c r="AD5">
        <f t="shared" si="1"/>
        <v>0</v>
      </c>
      <c r="AI5" s="14"/>
      <c r="AM5" s="155"/>
      <c r="AO5" s="118" t="str">
        <f>'Simulador '!U10</f>
        <v>TEA (Tasa Efectiva Anual)</v>
      </c>
      <c r="AP5" s="115">
        <f>_xlfn.XLOOKUP(AO5,AP2:AP3,AO2:AO3,"x",0,1)</f>
        <v>1</v>
      </c>
      <c r="AT5" s="8">
        <v>44288</v>
      </c>
      <c r="AU5" s="9" t="s">
        <v>49</v>
      </c>
      <c r="AV5" s="1">
        <v>1</v>
      </c>
    </row>
    <row r="6" spans="1:49" ht="15" thickBot="1">
      <c r="D6" s="119" t="str">
        <f>'Simulador '!U4</f>
        <v>SOLES</v>
      </c>
      <c r="G6" s="14">
        <v>5</v>
      </c>
      <c r="H6" s="14" t="str">
        <f t="shared" si="2"/>
        <v>ACTIVO FIJO</v>
      </c>
      <c r="I6" s="14" t="s">
        <v>122</v>
      </c>
      <c r="J6" s="14" t="s">
        <v>84</v>
      </c>
      <c r="K6" t="str">
        <f>VLOOKUP(L6,K2:L5,2,FALSE)</f>
        <v>CON SEGURO</v>
      </c>
      <c r="L6" s="114">
        <f>_xlfn.XLOOKUP(L7,L2:L5,K2:K5,"x",0,1)</f>
        <v>1</v>
      </c>
      <c r="N6" s="13">
        <v>5</v>
      </c>
      <c r="O6" s="131">
        <f t="shared" si="0"/>
        <v>13</v>
      </c>
      <c r="P6" s="13">
        <v>5</v>
      </c>
      <c r="AB6">
        <v>5</v>
      </c>
      <c r="AC6" s="33">
        <f>'Reglas de CI'!B25</f>
        <v>0</v>
      </c>
      <c r="AD6">
        <f t="shared" si="1"/>
        <v>0</v>
      </c>
      <c r="AM6" s="155"/>
      <c r="AT6" s="8">
        <v>44317</v>
      </c>
      <c r="AU6" s="9" t="s">
        <v>50</v>
      </c>
      <c r="AV6" s="1">
        <v>1</v>
      </c>
    </row>
    <row r="7" spans="1:49" ht="15" thickBot="1">
      <c r="G7" s="14">
        <v>6</v>
      </c>
      <c r="H7" s="14"/>
      <c r="I7" s="14"/>
      <c r="J7" s="30"/>
      <c r="L7" s="120" t="str">
        <f>'Simulador '!U12</f>
        <v>CON SEGURO</v>
      </c>
      <c r="N7" s="13">
        <v>6</v>
      </c>
      <c r="O7" s="131">
        <f t="shared" si="0"/>
        <v>15</v>
      </c>
      <c r="P7" s="13">
        <v>6</v>
      </c>
      <c r="U7" s="117" t="str">
        <f>IF(I21=I16,$Y$2,'Simulador '!U13)</f>
        <v>CADA 28 DIAS (CG)</v>
      </c>
      <c r="V7" s="114" t="str">
        <f>_xlfn.XLOOKUP(U7,V2:V5,U2:U5,"x",0,1)</f>
        <v>x</v>
      </c>
      <c r="AB7">
        <v>6</v>
      </c>
      <c r="AC7" s="33">
        <f>'Reglas de CI'!B26</f>
        <v>0</v>
      </c>
      <c r="AD7">
        <f t="shared" si="1"/>
        <v>0</v>
      </c>
      <c r="AT7" s="8">
        <v>44329</v>
      </c>
      <c r="AU7" s="9" t="s">
        <v>51</v>
      </c>
      <c r="AV7" s="1">
        <v>1</v>
      </c>
    </row>
    <row r="8" spans="1:49" ht="15" thickBot="1">
      <c r="G8" s="14">
        <v>7</v>
      </c>
      <c r="H8" s="92" t="str">
        <f t="shared" si="2"/>
        <v>EMPRESARIO</v>
      </c>
      <c r="I8" s="14" t="s">
        <v>84</v>
      </c>
      <c r="N8" s="13">
        <v>7</v>
      </c>
      <c r="O8" s="131">
        <f t="shared" si="0"/>
        <v>17</v>
      </c>
      <c r="P8" s="13">
        <v>7</v>
      </c>
      <c r="U8" s="123" t="str">
        <f>'Simulador '!AO2</f>
        <v>MENSUAL</v>
      </c>
      <c r="AB8">
        <v>7</v>
      </c>
      <c r="AC8" s="33">
        <f>'Reglas de CI'!B27</f>
        <v>0</v>
      </c>
      <c r="AD8">
        <f t="shared" si="1"/>
        <v>0</v>
      </c>
      <c r="AT8" s="8">
        <v>44376</v>
      </c>
      <c r="AU8" s="9" t="s">
        <v>52</v>
      </c>
      <c r="AV8" s="1">
        <v>1</v>
      </c>
    </row>
    <row r="9" spans="1:49" ht="15" thickBot="1">
      <c r="G9" s="14">
        <v>8</v>
      </c>
      <c r="H9" s="92" t="str">
        <f t="shared" si="2"/>
        <v>PYME</v>
      </c>
      <c r="I9" s="14" t="s">
        <v>85</v>
      </c>
      <c r="N9" s="13">
        <v>8</v>
      </c>
      <c r="O9" s="131">
        <f t="shared" si="0"/>
        <v>19</v>
      </c>
      <c r="P9" s="13">
        <v>8</v>
      </c>
      <c r="AB9">
        <v>8</v>
      </c>
      <c r="AC9" s="33">
        <f>'Reglas de CI'!B28</f>
        <v>0</v>
      </c>
      <c r="AD9">
        <f t="shared" si="1"/>
        <v>0</v>
      </c>
      <c r="AT9" s="8">
        <v>44405</v>
      </c>
      <c r="AU9" s="9" t="s">
        <v>53</v>
      </c>
      <c r="AV9" s="1">
        <v>1</v>
      </c>
    </row>
    <row r="10" spans="1:49" ht="15" thickBot="1">
      <c r="G10" s="14">
        <v>9</v>
      </c>
      <c r="H10" s="92" t="str">
        <f t="shared" si="2"/>
        <v>COMPRA DE DEUDA</v>
      </c>
      <c r="I10" s="14" t="s">
        <v>86</v>
      </c>
      <c r="N10" s="13">
        <v>9</v>
      </c>
      <c r="O10" s="131">
        <f t="shared" si="0"/>
        <v>21</v>
      </c>
      <c r="P10" s="13">
        <v>9</v>
      </c>
      <c r="AB10">
        <v>9</v>
      </c>
      <c r="AC10" s="33">
        <f>'Reglas de CI'!B29</f>
        <v>0</v>
      </c>
      <c r="AD10">
        <f t="shared" si="1"/>
        <v>0</v>
      </c>
      <c r="AT10" s="8">
        <v>44406</v>
      </c>
      <c r="AU10" s="10" t="s">
        <v>54</v>
      </c>
      <c r="AV10" s="1">
        <v>1</v>
      </c>
    </row>
    <row r="11" spans="1:49" ht="15" thickBot="1">
      <c r="G11" s="14">
        <v>10</v>
      </c>
      <c r="H11" s="92"/>
      <c r="I11" s="14"/>
      <c r="N11" s="13">
        <v>10</v>
      </c>
      <c r="O11" s="131">
        <f t="shared" si="0"/>
        <v>23</v>
      </c>
      <c r="P11" s="13">
        <v>10</v>
      </c>
      <c r="AT11" s="8">
        <v>44438</v>
      </c>
      <c r="AU11" s="9" t="s">
        <v>55</v>
      </c>
      <c r="AV11" s="1">
        <v>1</v>
      </c>
    </row>
    <row r="12" spans="1:49" ht="15" thickBot="1">
      <c r="G12" s="14">
        <v>11</v>
      </c>
      <c r="H12" s="92" t="str">
        <f t="shared" si="2"/>
        <v>CASH</v>
      </c>
      <c r="I12" s="14" t="s">
        <v>187</v>
      </c>
      <c r="N12" s="13">
        <v>11</v>
      </c>
      <c r="O12" s="131">
        <f t="shared" si="0"/>
        <v>0</v>
      </c>
      <c r="P12" s="13">
        <v>11</v>
      </c>
      <c r="AB12" s="12">
        <f>IF(AC12="x",0,VLOOKUP(AC12,AB2:AD10,3))</f>
        <v>0</v>
      </c>
      <c r="AC12" s="114" t="str">
        <f>_xlfn.XLOOKUP(AC13,AC2:AC10,AB2:AB10,"x",0,1)</f>
        <v>x</v>
      </c>
      <c r="AT12" s="8">
        <v>44477</v>
      </c>
      <c r="AU12" s="9" t="s">
        <v>56</v>
      </c>
      <c r="AV12" s="1">
        <v>1</v>
      </c>
    </row>
    <row r="13" spans="1:49" ht="15" thickBot="1">
      <c r="G13" s="14">
        <v>12</v>
      </c>
      <c r="H13" s="92"/>
      <c r="I13" s="14"/>
      <c r="N13" s="13">
        <v>12</v>
      </c>
      <c r="O13" s="131">
        <f t="shared" si="0"/>
        <v>0</v>
      </c>
      <c r="P13" s="13">
        <v>12</v>
      </c>
      <c r="AC13" s="118">
        <f>'Simulador '!U14</f>
        <v>180</v>
      </c>
      <c r="AT13" s="8">
        <v>44501</v>
      </c>
      <c r="AU13" s="9" t="s">
        <v>57</v>
      </c>
      <c r="AV13" s="1">
        <v>1</v>
      </c>
    </row>
    <row r="14" spans="1:49" ht="15" thickBot="1">
      <c r="G14" s="14">
        <v>13</v>
      </c>
      <c r="H14" s="92" t="str">
        <f t="shared" si="2"/>
        <v>LÍNEA DE CRÉDITO</v>
      </c>
      <c r="I14" s="14" t="s">
        <v>189</v>
      </c>
      <c r="N14" s="13">
        <v>13</v>
      </c>
      <c r="O14" s="131">
        <f t="shared" si="0"/>
        <v>0</v>
      </c>
      <c r="P14" s="13">
        <v>13</v>
      </c>
      <c r="AC14" s="122"/>
      <c r="AT14" s="8">
        <v>44538</v>
      </c>
      <c r="AU14" s="9" t="s">
        <v>58</v>
      </c>
      <c r="AV14" s="1">
        <v>1</v>
      </c>
    </row>
    <row r="15" spans="1:49" ht="15" thickBot="1">
      <c r="G15" s="14">
        <v>14</v>
      </c>
      <c r="H15" s="92" t="str">
        <f t="shared" si="2"/>
        <v>LÍNEA DE CRÉDITO CREDITIENDA</v>
      </c>
      <c r="I15" s="14" t="s">
        <v>190</v>
      </c>
      <c r="N15" s="13">
        <v>14</v>
      </c>
      <c r="O15" s="131" t="str">
        <f t="shared" ref="O15:O22" si="3">IF(AND($I$21=$I$15,$U$7=$Y$3),Q47,IF(AND($I$21=$I$15,$U$7=$Y$4),P47,O47))</f>
        <v xml:space="preserve"> </v>
      </c>
      <c r="P15" s="13">
        <v>14</v>
      </c>
      <c r="AT15" s="8">
        <v>44555</v>
      </c>
      <c r="AU15" s="9" t="s">
        <v>59</v>
      </c>
      <c r="AV15" s="1">
        <v>1</v>
      </c>
    </row>
    <row r="16" spans="1:49" ht="15" thickBot="1">
      <c r="G16" s="14">
        <v>15</v>
      </c>
      <c r="H16" s="92"/>
      <c r="I16" s="14" t="s">
        <v>106</v>
      </c>
      <c r="N16" s="13">
        <v>15</v>
      </c>
      <c r="O16" s="131" t="str">
        <f t="shared" si="3"/>
        <v xml:space="preserve"> </v>
      </c>
      <c r="P16" s="13">
        <v>15</v>
      </c>
      <c r="AT16" s="8">
        <v>44562</v>
      </c>
      <c r="AU16" s="9" t="s">
        <v>46</v>
      </c>
      <c r="AV16" s="1">
        <v>1</v>
      </c>
    </row>
    <row r="17" spans="1:48" ht="15" thickBot="1">
      <c r="G17" s="14">
        <v>16</v>
      </c>
      <c r="H17" s="92"/>
      <c r="I17" s="14" t="s">
        <v>160</v>
      </c>
      <c r="N17" s="13">
        <v>16</v>
      </c>
      <c r="O17" s="131" t="str">
        <f t="shared" si="3"/>
        <v xml:space="preserve"> </v>
      </c>
      <c r="P17" s="13">
        <v>16</v>
      </c>
      <c r="AT17" s="8">
        <v>44620</v>
      </c>
      <c r="AU17" s="9" t="s">
        <v>47</v>
      </c>
      <c r="AV17" s="1">
        <v>1</v>
      </c>
    </row>
    <row r="18" spans="1:48" ht="15" thickBot="1">
      <c r="N18" s="13">
        <v>17</v>
      </c>
      <c r="O18" s="131" t="str">
        <f t="shared" si="3"/>
        <v xml:space="preserve"> </v>
      </c>
      <c r="P18" s="13">
        <v>17</v>
      </c>
      <c r="AT18" s="8">
        <v>44665</v>
      </c>
      <c r="AU18" s="9" t="s">
        <v>48</v>
      </c>
      <c r="AV18" s="1">
        <v>1</v>
      </c>
    </row>
    <row r="19" spans="1:48" ht="24" thickBot="1">
      <c r="A19" t="str">
        <f>IF(H21=I14,B2,IF(A5=B2,B2,A5))</f>
        <v>INDIVIDUAL</v>
      </c>
      <c r="H19" s="116">
        <f>_xlfn.XLOOKUP(H21,H2:H16,G2:G16,"x",0,1)</f>
        <v>3</v>
      </c>
      <c r="N19" s="13">
        <v>18</v>
      </c>
      <c r="O19" s="131" t="str">
        <f t="shared" si="3"/>
        <v xml:space="preserve"> </v>
      </c>
      <c r="P19" s="13">
        <v>18</v>
      </c>
      <c r="AT19" s="8">
        <v>44666</v>
      </c>
      <c r="AU19" s="9" t="s">
        <v>49</v>
      </c>
      <c r="AV19" s="1">
        <v>1</v>
      </c>
    </row>
    <row r="20" spans="1:48" ht="15" thickBot="1">
      <c r="N20" s="13">
        <v>19</v>
      </c>
      <c r="O20" s="131" t="str">
        <f t="shared" si="3"/>
        <v xml:space="preserve"> </v>
      </c>
      <c r="P20" s="13">
        <v>19</v>
      </c>
      <c r="AT20" s="8">
        <v>44682</v>
      </c>
      <c r="AU20" s="9" t="s">
        <v>50</v>
      </c>
      <c r="AV20" s="1">
        <v>1</v>
      </c>
    </row>
    <row r="21" spans="1:48" ht="15" thickBot="1">
      <c r="H21" s="118" t="str">
        <f>'Simulador '!U5</f>
        <v>EFECTIVO</v>
      </c>
      <c r="I21" s="123" t="str">
        <f>'Simulador '!AM2</f>
        <v>EFECTIVO</v>
      </c>
      <c r="N21" s="13">
        <v>20</v>
      </c>
      <c r="O21" s="131" t="str">
        <f t="shared" si="3"/>
        <v xml:space="preserve"> </v>
      </c>
      <c r="P21" s="13">
        <v>20</v>
      </c>
      <c r="AT21" s="8">
        <v>44707</v>
      </c>
      <c r="AU21" s="9" t="s">
        <v>51</v>
      </c>
      <c r="AV21" s="1">
        <v>1</v>
      </c>
    </row>
    <row r="22" spans="1:48" ht="15" thickBot="1">
      <c r="N22" s="13">
        <v>21</v>
      </c>
      <c r="O22" s="131" t="str">
        <f t="shared" si="3"/>
        <v xml:space="preserve"> </v>
      </c>
      <c r="P22" s="13">
        <v>21</v>
      </c>
      <c r="AT22" s="8">
        <v>44741</v>
      </c>
      <c r="AU22" s="9" t="s">
        <v>52</v>
      </c>
      <c r="AV22" s="1">
        <v>1</v>
      </c>
    </row>
    <row r="23" spans="1:48">
      <c r="AT23" s="8">
        <v>44770</v>
      </c>
      <c r="AU23" s="9" t="s">
        <v>53</v>
      </c>
      <c r="AV23" s="1">
        <v>1</v>
      </c>
    </row>
    <row r="24" spans="1:48">
      <c r="N24" s="12">
        <f>IFERROR(IF(A5=$B$3,LEFT(VLOOKUP(O24,N2:O22,2,FALSE),2)*1,VLOOKUP(O24,N2:O22,2,FALSE)),0)</f>
        <v>2</v>
      </c>
      <c r="O24" s="114">
        <f>VLOOKUP(P25,O2:P22,2,FALSE)</f>
        <v>1</v>
      </c>
      <c r="AT24" s="8">
        <v>44771</v>
      </c>
      <c r="AU24" s="10" t="s">
        <v>54</v>
      </c>
      <c r="AV24" s="1">
        <v>1</v>
      </c>
    </row>
    <row r="25" spans="1:48">
      <c r="H25" t="s">
        <v>170</v>
      </c>
      <c r="O25" s="118" t="str">
        <f>'Simulador '!U9</f>
        <v>14 Primer Pago</v>
      </c>
      <c r="P25" s="123">
        <f>'Simulador '!AN2</f>
        <v>2</v>
      </c>
      <c r="AT25" s="8">
        <v>44803</v>
      </c>
      <c r="AU25" s="9" t="s">
        <v>55</v>
      </c>
      <c r="AV25" s="1">
        <v>1</v>
      </c>
    </row>
    <row r="26" spans="1:48" ht="15" thickBot="1">
      <c r="AT26" s="8">
        <v>44842</v>
      </c>
      <c r="AU26" s="9" t="s">
        <v>56</v>
      </c>
      <c r="AV26" s="1">
        <v>1</v>
      </c>
    </row>
    <row r="27" spans="1:48" ht="15" thickBot="1">
      <c r="H27" s="14" t="s">
        <v>123</v>
      </c>
      <c r="I27" t="s">
        <v>78</v>
      </c>
      <c r="N27">
        <f>IF(AND($H$21=$I$16,$U$7=$Y$3),Q34,IF(AND($H$21=$I$16,$U$7=$Y$4),P34,O34))</f>
        <v>2</v>
      </c>
      <c r="AT27" s="8">
        <v>44866</v>
      </c>
      <c r="AU27" s="9" t="s">
        <v>57</v>
      </c>
      <c r="AV27" s="1">
        <v>1</v>
      </c>
    </row>
    <row r="28" spans="1:48" ht="15" thickBot="1">
      <c r="H28" s="14" t="s">
        <v>161</v>
      </c>
      <c r="I28" t="s">
        <v>78</v>
      </c>
      <c r="N28">
        <f>IFERROR(IF(A5=$B$3,LEFT(VLOOKUP(O24,N2:O22,2,FALSE),2)*1,VLOOKUP(O24,N2:O22,2,FALSE)),0)</f>
        <v>2</v>
      </c>
      <c r="AT28" s="8">
        <v>44903</v>
      </c>
      <c r="AU28" s="9" t="s">
        <v>58</v>
      </c>
      <c r="AV28" s="1">
        <v>1</v>
      </c>
    </row>
    <row r="29" spans="1:48" ht="15" thickBot="1">
      <c r="H29" s="14" t="s">
        <v>81</v>
      </c>
      <c r="I29" t="s">
        <v>78</v>
      </c>
      <c r="AT29" s="8">
        <v>44920</v>
      </c>
      <c r="AU29" s="9" t="s">
        <v>59</v>
      </c>
      <c r="AV29" s="1">
        <v>1</v>
      </c>
    </row>
    <row r="30" spans="1:48" ht="15" thickBot="1">
      <c r="H30" s="14" t="s">
        <v>82</v>
      </c>
      <c r="I30" t="s">
        <v>78</v>
      </c>
      <c r="AT30" s="8">
        <v>44927</v>
      </c>
      <c r="AU30" s="9" t="s">
        <v>46</v>
      </c>
      <c r="AV30" s="1">
        <v>1</v>
      </c>
    </row>
    <row r="31" spans="1:48" ht="15" thickBot="1">
      <c r="H31" s="14" t="s">
        <v>122</v>
      </c>
      <c r="I31" t="s">
        <v>78</v>
      </c>
      <c r="AT31" s="8">
        <v>44977</v>
      </c>
      <c r="AU31" s="9" t="s">
        <v>47</v>
      </c>
      <c r="AV31" s="1">
        <v>1</v>
      </c>
    </row>
    <row r="32" spans="1:48" ht="15" thickBot="1">
      <c r="H32" s="14" t="s">
        <v>83</v>
      </c>
      <c r="I32" t="s">
        <v>78</v>
      </c>
      <c r="AT32" s="8">
        <v>45022</v>
      </c>
      <c r="AU32" s="9" t="s">
        <v>48</v>
      </c>
      <c r="AV32" s="1">
        <v>1</v>
      </c>
    </row>
    <row r="33" spans="8:48" ht="15" thickBot="1">
      <c r="H33" s="14" t="s">
        <v>84</v>
      </c>
      <c r="I33" t="s">
        <v>78</v>
      </c>
      <c r="O33" s="14" t="s">
        <v>78</v>
      </c>
      <c r="P33" s="14" t="s">
        <v>98</v>
      </c>
      <c r="Q33" s="14" t="s">
        <v>97</v>
      </c>
      <c r="AT33" s="8">
        <v>45023</v>
      </c>
      <c r="AU33" s="9" t="s">
        <v>49</v>
      </c>
      <c r="AV33" s="1">
        <v>1</v>
      </c>
    </row>
    <row r="34" spans="8:48" ht="19" thickBot="1">
      <c r="H34" s="14" t="s">
        <v>85</v>
      </c>
      <c r="I34" t="s">
        <v>78</v>
      </c>
      <c r="O34" s="15">
        <v>2</v>
      </c>
      <c r="P34" s="13" t="s">
        <v>99</v>
      </c>
      <c r="Q34" s="13" t="s">
        <v>100</v>
      </c>
      <c r="AT34" s="8">
        <v>45047</v>
      </c>
      <c r="AU34" s="9" t="s">
        <v>50</v>
      </c>
      <c r="AV34" s="1">
        <v>1</v>
      </c>
    </row>
    <row r="35" spans="8:48" ht="19" thickBot="1">
      <c r="H35" s="14" t="s">
        <v>86</v>
      </c>
      <c r="I35" t="s">
        <v>78</v>
      </c>
      <c r="O35" s="15">
        <v>5</v>
      </c>
      <c r="P35" s="13"/>
      <c r="Q35" s="13"/>
      <c r="AT35" s="8">
        <v>45064</v>
      </c>
      <c r="AU35" s="9" t="s">
        <v>51</v>
      </c>
      <c r="AV35" s="1">
        <v>1</v>
      </c>
    </row>
    <row r="36" spans="8:48" ht="19" thickBot="1">
      <c r="H36" s="14" t="s">
        <v>181</v>
      </c>
      <c r="I36" t="s">
        <v>78</v>
      </c>
      <c r="O36" s="15">
        <v>7</v>
      </c>
      <c r="P36" s="13"/>
      <c r="Q36" s="13"/>
      <c r="AT36" s="8">
        <v>45106</v>
      </c>
      <c r="AU36" s="9" t="s">
        <v>52</v>
      </c>
      <c r="AV36" s="1">
        <v>1</v>
      </c>
    </row>
    <row r="37" spans="8:48" ht="19" thickBot="1">
      <c r="H37" s="14" t="s">
        <v>187</v>
      </c>
      <c r="I37" t="s">
        <v>78</v>
      </c>
      <c r="O37" s="15">
        <v>9</v>
      </c>
      <c r="P37" s="13"/>
      <c r="Q37" s="13"/>
      <c r="AT37" s="8">
        <v>45135</v>
      </c>
      <c r="AU37" s="9" t="s">
        <v>53</v>
      </c>
      <c r="AV37" s="1">
        <v>1</v>
      </c>
    </row>
    <row r="38" spans="8:48" ht="19" thickBot="1">
      <c r="H38" s="14" t="s">
        <v>188</v>
      </c>
      <c r="I38" t="s">
        <v>78</v>
      </c>
      <c r="O38" s="15">
        <v>13</v>
      </c>
      <c r="P38" s="13"/>
      <c r="Q38" s="13"/>
      <c r="AT38" s="8">
        <v>45136</v>
      </c>
      <c r="AU38" s="10" t="s">
        <v>54</v>
      </c>
      <c r="AV38" s="1">
        <v>1</v>
      </c>
    </row>
    <row r="39" spans="8:48" ht="19" thickBot="1">
      <c r="H39" s="14" t="s">
        <v>189</v>
      </c>
      <c r="I39" t="s">
        <v>78</v>
      </c>
      <c r="O39" s="15">
        <f t="shared" ref="O39:O43" si="4">O38+2</f>
        <v>15</v>
      </c>
      <c r="P39" s="13"/>
      <c r="Q39" s="13"/>
      <c r="AT39" s="8">
        <v>45168</v>
      </c>
      <c r="AU39" s="9" t="s">
        <v>55</v>
      </c>
      <c r="AV39" s="1">
        <v>1</v>
      </c>
    </row>
    <row r="40" spans="8:48" ht="19" thickBot="1">
      <c r="H40" s="14" t="s">
        <v>190</v>
      </c>
      <c r="I40" t="s">
        <v>78</v>
      </c>
      <c r="O40" s="15">
        <f t="shared" si="4"/>
        <v>17</v>
      </c>
      <c r="P40" s="13"/>
      <c r="Q40" s="13"/>
      <c r="AT40" s="8">
        <v>45207</v>
      </c>
      <c r="AU40" s="9" t="s">
        <v>56</v>
      </c>
      <c r="AV40" s="1">
        <v>1</v>
      </c>
    </row>
    <row r="41" spans="8:48" ht="19" thickBot="1">
      <c r="H41" s="14" t="s">
        <v>106</v>
      </c>
      <c r="I41" t="s">
        <v>79</v>
      </c>
      <c r="O41" s="15">
        <f t="shared" si="4"/>
        <v>19</v>
      </c>
      <c r="P41" s="13" t="s">
        <v>101</v>
      </c>
      <c r="Q41" s="13"/>
      <c r="AT41" s="8">
        <v>45231</v>
      </c>
      <c r="AU41" s="9" t="s">
        <v>57</v>
      </c>
      <c r="AV41" s="1">
        <v>1</v>
      </c>
    </row>
    <row r="42" spans="8:48" ht="19" thickBot="1">
      <c r="H42" s="14" t="s">
        <v>160</v>
      </c>
      <c r="I42" t="s">
        <v>79</v>
      </c>
      <c r="O42" s="15">
        <f t="shared" si="4"/>
        <v>21</v>
      </c>
      <c r="P42" s="13" t="s">
        <v>101</v>
      </c>
      <c r="Q42" s="13"/>
      <c r="AT42" s="8">
        <v>45268</v>
      </c>
      <c r="AU42" s="9" t="s">
        <v>58</v>
      </c>
      <c r="AV42" s="1">
        <v>1</v>
      </c>
    </row>
    <row r="43" spans="8:48" ht="19" thickBot="1">
      <c r="O43" s="15">
        <f t="shared" si="4"/>
        <v>23</v>
      </c>
      <c r="P43" s="13" t="s">
        <v>101</v>
      </c>
      <c r="Q43" s="13"/>
      <c r="AT43" s="8">
        <v>45285</v>
      </c>
      <c r="AU43" s="9" t="s">
        <v>59</v>
      </c>
      <c r="AV43" s="1">
        <v>1</v>
      </c>
    </row>
    <row r="44" spans="8:48" ht="19" thickBot="1">
      <c r="O44" s="15"/>
      <c r="P44" s="13" t="s">
        <v>101</v>
      </c>
      <c r="Q44" s="13"/>
      <c r="AT44" s="8">
        <v>45292</v>
      </c>
      <c r="AU44" s="9" t="s">
        <v>46</v>
      </c>
      <c r="AV44" s="1">
        <v>1</v>
      </c>
    </row>
    <row r="45" spans="8:48" ht="19" thickBot="1">
      <c r="O45" s="15"/>
      <c r="P45" s="13" t="s">
        <v>101</v>
      </c>
      <c r="Q45" s="13"/>
      <c r="AT45" s="8">
        <v>45334</v>
      </c>
      <c r="AU45" s="9" t="s">
        <v>47</v>
      </c>
      <c r="AV45" s="1">
        <v>1</v>
      </c>
    </row>
    <row r="46" spans="8:48" ht="19" thickBot="1">
      <c r="H46" s="111">
        <v>2</v>
      </c>
      <c r="I46" t="s">
        <v>78</v>
      </c>
      <c r="O46" s="15"/>
      <c r="P46" s="13" t="s">
        <v>101</v>
      </c>
      <c r="Q46" s="13"/>
      <c r="AT46" s="8">
        <v>45379</v>
      </c>
      <c r="AU46" s="9" t="s">
        <v>48</v>
      </c>
      <c r="AV46" s="1">
        <v>1</v>
      </c>
    </row>
    <row r="47" spans="8:48" ht="15" thickBot="1">
      <c r="H47" s="111">
        <v>5</v>
      </c>
      <c r="I47" t="s">
        <v>78</v>
      </c>
      <c r="O47" s="13" t="s">
        <v>101</v>
      </c>
      <c r="P47" s="13" t="s">
        <v>101</v>
      </c>
      <c r="Q47" s="13"/>
      <c r="AT47" s="8">
        <v>45380</v>
      </c>
      <c r="AU47" s="9" t="s">
        <v>49</v>
      </c>
      <c r="AV47" s="1">
        <v>1</v>
      </c>
    </row>
    <row r="48" spans="8:48" ht="15" thickBot="1">
      <c r="H48" s="111">
        <v>7</v>
      </c>
      <c r="I48" t="s">
        <v>78</v>
      </c>
      <c r="O48" s="13" t="s">
        <v>101</v>
      </c>
      <c r="P48" s="13" t="s">
        <v>101</v>
      </c>
      <c r="Q48" s="13"/>
      <c r="AT48" s="8">
        <v>45413</v>
      </c>
      <c r="AU48" s="9" t="s">
        <v>50</v>
      </c>
      <c r="AV48" s="1">
        <v>1</v>
      </c>
    </row>
    <row r="49" spans="8:48" ht="15" thickBot="1">
      <c r="H49" s="111">
        <v>9</v>
      </c>
      <c r="I49" t="s">
        <v>78</v>
      </c>
      <c r="O49" s="13" t="s">
        <v>101</v>
      </c>
      <c r="P49" s="13" t="s">
        <v>101</v>
      </c>
      <c r="Q49" s="13"/>
      <c r="AT49" s="8">
        <v>45421</v>
      </c>
      <c r="AU49" s="9" t="s">
        <v>51</v>
      </c>
      <c r="AV49" s="1">
        <v>1</v>
      </c>
    </row>
    <row r="50" spans="8:48" ht="15" thickBot="1">
      <c r="H50" s="111">
        <v>13</v>
      </c>
      <c r="I50" t="s">
        <v>78</v>
      </c>
      <c r="O50" s="13" t="s">
        <v>101</v>
      </c>
      <c r="P50" s="13" t="s">
        <v>101</v>
      </c>
      <c r="Q50" s="13"/>
      <c r="AT50" s="8">
        <v>45472</v>
      </c>
      <c r="AU50" s="9" t="s">
        <v>52</v>
      </c>
      <c r="AV50" s="1">
        <v>1</v>
      </c>
    </row>
    <row r="51" spans="8:48" ht="15" thickBot="1">
      <c r="H51" s="111">
        <v>15</v>
      </c>
      <c r="I51" t="s">
        <v>78</v>
      </c>
      <c r="O51" s="13" t="s">
        <v>101</v>
      </c>
      <c r="P51" s="13" t="s">
        <v>101</v>
      </c>
      <c r="Q51" s="13"/>
      <c r="AT51" s="8">
        <v>45501</v>
      </c>
      <c r="AU51" s="9" t="s">
        <v>53</v>
      </c>
      <c r="AV51" s="1">
        <v>1</v>
      </c>
    </row>
    <row r="52" spans="8:48" ht="15" thickBot="1">
      <c r="H52" s="111">
        <v>17</v>
      </c>
      <c r="I52" t="s">
        <v>78</v>
      </c>
      <c r="O52" s="13" t="s">
        <v>101</v>
      </c>
      <c r="P52" s="13" t="s">
        <v>101</v>
      </c>
      <c r="Q52" s="13"/>
      <c r="AT52" s="8">
        <v>45502</v>
      </c>
      <c r="AU52" s="10" t="s">
        <v>54</v>
      </c>
      <c r="AV52" s="1">
        <v>1</v>
      </c>
    </row>
    <row r="53" spans="8:48" ht="15" thickBot="1">
      <c r="H53" s="111">
        <v>19</v>
      </c>
      <c r="I53" t="s">
        <v>78</v>
      </c>
      <c r="O53" s="13" t="s">
        <v>101</v>
      </c>
      <c r="P53" s="13" t="s">
        <v>101</v>
      </c>
      <c r="Q53" s="13"/>
      <c r="AT53" s="8">
        <v>45534</v>
      </c>
      <c r="AU53" s="9" t="s">
        <v>55</v>
      </c>
      <c r="AV53" s="1">
        <v>1</v>
      </c>
    </row>
    <row r="54" spans="8:48" ht="15" thickBot="1">
      <c r="H54" s="111">
        <v>21</v>
      </c>
      <c r="I54" t="s">
        <v>78</v>
      </c>
      <c r="O54" s="13" t="s">
        <v>101</v>
      </c>
      <c r="P54" s="13" t="s">
        <v>101</v>
      </c>
      <c r="Q54" s="13"/>
      <c r="AT54" s="8">
        <v>45573</v>
      </c>
      <c r="AU54" s="9" t="s">
        <v>56</v>
      </c>
      <c r="AV54" s="1">
        <v>1</v>
      </c>
    </row>
    <row r="55" spans="8:48" ht="15" thickBot="1">
      <c r="H55" s="111">
        <v>23</v>
      </c>
      <c r="I55" t="s">
        <v>78</v>
      </c>
      <c r="AT55" s="8">
        <v>45597</v>
      </c>
      <c r="AU55" s="9" t="s">
        <v>57</v>
      </c>
      <c r="AV55" s="1">
        <v>1</v>
      </c>
    </row>
    <row r="56" spans="8:48" ht="15" thickBot="1">
      <c r="H56" s="111">
        <v>2</v>
      </c>
      <c r="I56" t="s">
        <v>78</v>
      </c>
      <c r="AT56" s="8">
        <v>45634</v>
      </c>
      <c r="AU56" s="9" t="s">
        <v>58</v>
      </c>
      <c r="AV56" s="1">
        <v>1</v>
      </c>
    </row>
    <row r="57" spans="8:48" ht="15" thickBot="1">
      <c r="H57" s="111">
        <v>5</v>
      </c>
      <c r="I57" t="s">
        <v>78</v>
      </c>
      <c r="AT57" s="8">
        <v>45651</v>
      </c>
      <c r="AU57" s="9" t="s">
        <v>59</v>
      </c>
      <c r="AV57" s="1">
        <v>1</v>
      </c>
    </row>
    <row r="58" spans="8:48" ht="15" thickBot="1">
      <c r="H58" s="111">
        <v>7</v>
      </c>
      <c r="I58" t="s">
        <v>78</v>
      </c>
      <c r="AT58" s="8">
        <v>45658</v>
      </c>
      <c r="AU58" s="9" t="s">
        <v>46</v>
      </c>
      <c r="AV58" s="1">
        <v>1</v>
      </c>
    </row>
    <row r="59" spans="8:48" ht="15" thickBot="1">
      <c r="H59" s="13" t="s">
        <v>99</v>
      </c>
      <c r="I59" t="s">
        <v>79</v>
      </c>
      <c r="AT59" s="8">
        <v>45764</v>
      </c>
      <c r="AU59" s="9" t="s">
        <v>48</v>
      </c>
      <c r="AV59" s="1">
        <v>1</v>
      </c>
    </row>
    <row r="60" spans="8:48" ht="15" thickBot="1">
      <c r="H60" s="13" t="s">
        <v>100</v>
      </c>
      <c r="I60" t="s">
        <v>79</v>
      </c>
      <c r="AT60" s="8">
        <v>45765</v>
      </c>
      <c r="AU60" s="9" t="s">
        <v>49</v>
      </c>
      <c r="AV60" s="1">
        <v>1</v>
      </c>
    </row>
    <row r="61" spans="8:48" ht="15" thickBot="1">
      <c r="AT61" s="8">
        <v>45778</v>
      </c>
      <c r="AU61" s="9" t="s">
        <v>50</v>
      </c>
      <c r="AV61" s="1">
        <v>1</v>
      </c>
    </row>
    <row r="62" spans="8:48" ht="15" thickBot="1">
      <c r="H62" s="14" t="s">
        <v>89</v>
      </c>
      <c r="I62" t="s">
        <v>78</v>
      </c>
      <c r="AT62" s="8">
        <v>45837</v>
      </c>
      <c r="AU62" s="9" t="s">
        <v>52</v>
      </c>
      <c r="AV62" s="1">
        <v>1</v>
      </c>
    </row>
    <row r="63" spans="8:48" ht="15" thickBot="1">
      <c r="H63" s="14" t="s">
        <v>90</v>
      </c>
      <c r="I63" t="s">
        <v>79</v>
      </c>
      <c r="AT63" s="8">
        <v>45866</v>
      </c>
      <c r="AU63" s="9" t="s">
        <v>53</v>
      </c>
      <c r="AV63" s="1">
        <v>1</v>
      </c>
    </row>
    <row r="64" spans="8:48" ht="15" thickBot="1">
      <c r="H64" s="14" t="s">
        <v>91</v>
      </c>
      <c r="I64" t="s">
        <v>79</v>
      </c>
      <c r="AT64" s="8">
        <v>45867</v>
      </c>
      <c r="AU64" s="10" t="s">
        <v>54</v>
      </c>
      <c r="AV64" s="1">
        <v>1</v>
      </c>
    </row>
    <row r="65" spans="46:48">
      <c r="AT65" s="8">
        <v>45899</v>
      </c>
      <c r="AU65" s="9" t="s">
        <v>55</v>
      </c>
      <c r="AV65" s="1">
        <v>1</v>
      </c>
    </row>
    <row r="66" spans="46:48">
      <c r="AT66" s="8">
        <v>45938</v>
      </c>
      <c r="AU66" s="9" t="s">
        <v>56</v>
      </c>
      <c r="AV66" s="1">
        <v>1</v>
      </c>
    </row>
    <row r="67" spans="46:48">
      <c r="AT67" s="8">
        <v>45962</v>
      </c>
      <c r="AU67" s="9" t="s">
        <v>57</v>
      </c>
      <c r="AV67" s="1">
        <v>1</v>
      </c>
    </row>
    <row r="68" spans="46:48">
      <c r="AT68" s="8">
        <v>45999</v>
      </c>
      <c r="AU68" s="9" t="s">
        <v>58</v>
      </c>
      <c r="AV68" s="1">
        <v>1</v>
      </c>
    </row>
    <row r="69" spans="46:48">
      <c r="AT69" s="8">
        <v>46016</v>
      </c>
      <c r="AU69" s="9" t="s">
        <v>59</v>
      </c>
      <c r="AV69" s="1">
        <v>1</v>
      </c>
    </row>
    <row r="70" spans="46:48">
      <c r="AT70" s="8"/>
      <c r="AU70" s="9"/>
      <c r="AV70" s="1"/>
    </row>
    <row r="71" spans="46:48">
      <c r="AT71" s="8"/>
      <c r="AU71" s="9"/>
      <c r="AV71" s="1"/>
    </row>
  </sheetData>
  <customSheetViews>
    <customSheetView guid="{52987596-9B8D-4CD9-8760-D388E3918C22}" scale="55" state="hidden">
      <selection activeCell="C18" sqref="C18"/>
      <pageMargins left="0.7" right="0.7" top="0.75" bottom="0.75" header="0.3" footer="0.3"/>
    </customSheetView>
  </customSheetViews>
  <hyperlinks>
    <hyperlink ref="AU2" r:id="rId1" display="https://www.wincalendar.com/es/pe/Ano-Nuevo" xr:uid="{232722D7-61C2-4E8E-B9F4-B919930E95AF}"/>
    <hyperlink ref="AU3" r:id="rId2" display="https://www.wincalendar.com/es/pe/Carnaval-Lunes" xr:uid="{9593311F-6DE4-4619-B280-FCDD23B906AC}"/>
    <hyperlink ref="AU4" r:id="rId3" display="https://www.wincalendar.com/es/pe/Jueves-Santo" xr:uid="{810D5667-52BC-467E-A5D7-BE9B3FB7A593}"/>
    <hyperlink ref="AU5" r:id="rId4" display="https://www.wincalendar.com/es/pe/Viernes-Santo" xr:uid="{71CC70ED-F1AC-4FF3-A418-8E90DADD1DB7}"/>
    <hyperlink ref="AU6" r:id="rId5" display="https://www.wincalendar.com/es/pe/Dia-del-Trabajo" xr:uid="{FA53E82D-511B-4155-A0D1-E9EF9F8F6CED}"/>
    <hyperlink ref="AU7" r:id="rId6" display="https://www.wincalendar.com/es/pe/Dia-de-la-Ascension" xr:uid="{20BED5A4-C745-4136-A94E-6419D64D2825}"/>
    <hyperlink ref="AU8" r:id="rId7" display="https://www.wincalendar.com/es/pe/San-Pedro-y-San-Pablo" xr:uid="{066188AD-FFD3-412A-9FD5-B7D43D7A52F3}"/>
    <hyperlink ref="AU9" r:id="rId8" display="https://www.wincalendar.com/es/pe/Independencia-del-Peru" xr:uid="{177C8FD9-FDAF-4A17-8018-B3E8A03645E5}"/>
    <hyperlink ref="AU11" r:id="rId9" display="https://www.wincalendar.com/es/pe/Santa-Rosa-de-Lima" xr:uid="{805164DD-5531-49D6-B290-2B0934EDE2B4}"/>
    <hyperlink ref="AU12" r:id="rId10" display="https://www.wincalendar.com/es/pe/Combate-Naval-de-Angamos" xr:uid="{5521E30A-B6FE-4BD2-92CA-53DF5B808EE8}"/>
    <hyperlink ref="AU13" r:id="rId11" display="https://www.wincalendar.com/es/pe/Dia-de-Todos-los-Santos" xr:uid="{18DB07F1-7F88-4968-B994-A98FFC60AB17}"/>
    <hyperlink ref="AU14" r:id="rId12" display="https://www.wincalendar.com/es/pe/Dia-de-la-Inmaculada-Concepcion" xr:uid="{7BBA7242-829A-4E68-99FC-3A17BDDF800A}"/>
    <hyperlink ref="AU15" r:id="rId13" display="https://www.wincalendar.com/es/pe/Navidad" xr:uid="{877ABD39-A1EE-4833-BF8D-78561485FAD6}"/>
    <hyperlink ref="AW1" r:id="rId14" location="google_vignette" xr:uid="{4DAA9EC6-8230-436F-8E49-F8B322B19796}"/>
    <hyperlink ref="AU16" r:id="rId15" display="https://www.wincalendar.com/es/pe/Ano-Nuevo" xr:uid="{F5AD4EEB-5E43-4952-9806-8F30443022A2}"/>
    <hyperlink ref="AU17" r:id="rId16" display="https://www.wincalendar.com/es/pe/Carnaval-Lunes" xr:uid="{6E812DF9-8C64-4497-81D0-EBED089AB28A}"/>
    <hyperlink ref="AU18" r:id="rId17" display="https://www.wincalendar.com/es/pe/Jueves-Santo" xr:uid="{5F2B14E9-D1D6-4B7A-BC37-0F4549F4C6C8}"/>
    <hyperlink ref="AU19" r:id="rId18" display="https://www.wincalendar.com/es/pe/Viernes-Santo" xr:uid="{98D49050-2F60-41CF-AF14-29697FB55424}"/>
    <hyperlink ref="AU20" r:id="rId19" display="https://www.wincalendar.com/es/pe/Dia-del-Trabajo" xr:uid="{395E75EC-CCD6-4134-BCD4-804D71C59CB9}"/>
    <hyperlink ref="AU21" r:id="rId20" display="https://www.wincalendar.com/es/pe/Dia-de-la-Ascension" xr:uid="{AAFF68B0-2AE1-4062-86F5-1E8E5E8DD1CD}"/>
    <hyperlink ref="AU22" r:id="rId21" display="https://www.wincalendar.com/es/pe/San-Pedro-y-San-Pablo" xr:uid="{02AA3D56-5879-43BB-8421-4F53D3A6B2ED}"/>
    <hyperlink ref="AU23" r:id="rId22" display="https://www.wincalendar.com/es/pe/Independencia-del-Peru" xr:uid="{54DE62D1-79AC-4FD1-B93A-2DEB1A2122A0}"/>
    <hyperlink ref="AU25" r:id="rId23" display="https://www.wincalendar.com/es/pe/Santa-Rosa-de-Lima" xr:uid="{AC8A06FD-C025-4488-A23D-5FA5EDEF04F0}"/>
    <hyperlink ref="AU26" r:id="rId24" display="https://www.wincalendar.com/es/pe/Combate-Naval-de-Angamos" xr:uid="{71EF5C46-768E-4F8B-BE35-6BB42022B0C3}"/>
    <hyperlink ref="AU27" r:id="rId25" display="https://www.wincalendar.com/es/pe/Dia-de-Todos-los-Santos" xr:uid="{596AE4DA-157F-44F4-9197-CD5F2319CDA2}"/>
    <hyperlink ref="AU28" r:id="rId26" display="https://www.wincalendar.com/es/pe/Dia-de-la-Inmaculada-Concepcion" xr:uid="{59C00125-FBA1-4258-8ECE-969F8DC87DC7}"/>
    <hyperlink ref="AU29" r:id="rId27" display="https://www.wincalendar.com/es/pe/Navidad" xr:uid="{8CF7B4DC-6C28-4668-8815-64E0C4B71FA1}"/>
    <hyperlink ref="AU30" r:id="rId28" display="https://www.wincalendar.com/es/pe/Ano-Nuevo" xr:uid="{F56CFC9B-6C80-43D8-AC38-5310FD8F2531}"/>
    <hyperlink ref="AU31" r:id="rId29" display="https://www.wincalendar.com/es/pe/Carnaval-Lunes" xr:uid="{E3B4E461-EE00-494E-BB6B-C8EEA1B8F467}"/>
    <hyperlink ref="AU32" r:id="rId30" display="https://www.wincalendar.com/es/pe/Jueves-Santo" xr:uid="{9B359A83-174C-4D12-AFF7-7482C14DF8EC}"/>
    <hyperlink ref="AU33" r:id="rId31" display="https://www.wincalendar.com/es/pe/Viernes-Santo" xr:uid="{4DA7DDA9-8F98-4784-9C7E-944497783A23}"/>
    <hyperlink ref="AU34" r:id="rId32" display="https://www.wincalendar.com/es/pe/Dia-del-Trabajo" xr:uid="{C4AF13E4-7BC1-422E-80AC-A0A6A1F9289A}"/>
    <hyperlink ref="AU35" r:id="rId33" display="https://www.wincalendar.com/es/pe/Dia-de-la-Ascension" xr:uid="{86AC16FE-BC2A-4537-B160-B664DC710BA3}"/>
    <hyperlink ref="AU36" r:id="rId34" display="https://www.wincalendar.com/es/pe/San-Pedro-y-San-Pablo" xr:uid="{49EED3D5-6CDC-4C92-880B-07CACE3481AA}"/>
    <hyperlink ref="AU37" r:id="rId35" display="https://www.wincalendar.com/es/pe/Independencia-del-Peru" xr:uid="{7D0A5850-7C48-4B43-9C2B-EC7BEB4148A9}"/>
    <hyperlink ref="AU39" r:id="rId36" display="https://www.wincalendar.com/es/pe/Santa-Rosa-de-Lima" xr:uid="{0E503F6B-7E39-4420-93E3-05C28926B889}"/>
    <hyperlink ref="AU40" r:id="rId37" display="https://www.wincalendar.com/es/pe/Combate-Naval-de-Angamos" xr:uid="{441FDDC4-B1D3-402A-A9BC-0B9BE4F445F5}"/>
    <hyperlink ref="AU41" r:id="rId38" display="https://www.wincalendar.com/es/pe/Dia-de-Todos-los-Santos" xr:uid="{667E589F-9DA1-4A2E-BE2E-F64C060A6AB9}"/>
    <hyperlink ref="AU42" r:id="rId39" display="https://www.wincalendar.com/es/pe/Dia-de-la-Inmaculada-Concepcion" xr:uid="{42B809B9-B424-42FC-AC3D-2352EF8B82C6}"/>
    <hyperlink ref="AU43" r:id="rId40" display="https://www.wincalendar.com/es/pe/Navidad" xr:uid="{7FAE02FD-7FDA-462B-B758-B3105B1C50DD}"/>
    <hyperlink ref="AU44" r:id="rId41" display="https://www.wincalendar.com/es/pe/Ano-Nuevo" xr:uid="{C85A14ED-58AD-4C7C-B2E3-68DC20440BBD}"/>
    <hyperlink ref="AU45" r:id="rId42" display="https://www.wincalendar.com/es/pe/Carnaval-Lunes" xr:uid="{DA658D6D-6A5E-4C7F-B497-974A57BD114C}"/>
    <hyperlink ref="AU46" r:id="rId43" display="https://www.wincalendar.com/es/pe/Jueves-Santo" xr:uid="{6CE89FAE-6063-43CE-B82B-C33ECAC94247}"/>
    <hyperlink ref="AU47" r:id="rId44" display="https://www.wincalendar.com/es/pe/Viernes-Santo" xr:uid="{0789B349-DDB9-4625-9F7B-1E2F7BF13E38}"/>
    <hyperlink ref="AU48" r:id="rId45" display="https://www.wincalendar.com/es/pe/Dia-del-Trabajo" xr:uid="{20BB58F3-0F45-4604-A7BB-09BFF8C71A26}"/>
    <hyperlink ref="AU49" r:id="rId46" display="https://www.wincalendar.com/es/pe/Dia-de-la-Ascension" xr:uid="{D2D236A4-8AD2-4E91-8B89-7128C50001B0}"/>
    <hyperlink ref="AU50" r:id="rId47" display="https://www.wincalendar.com/es/pe/San-Pedro-y-San-Pablo" xr:uid="{3648A0EF-046C-42A7-AF02-DFF395D59C3D}"/>
    <hyperlink ref="AU51" r:id="rId48" display="https://www.wincalendar.com/es/pe/Independencia-del-Peru" xr:uid="{D3366143-E8CC-4B55-8E11-18CB00FE4995}"/>
    <hyperlink ref="AU53" r:id="rId49" display="https://www.wincalendar.com/es/pe/Santa-Rosa-de-Lima" xr:uid="{AF6B248C-3644-4A3B-ACC1-A2BB186AE7F5}"/>
    <hyperlink ref="AU54" r:id="rId50" display="https://www.wincalendar.com/es/pe/Combate-Naval-de-Angamos" xr:uid="{17591F56-2034-4785-A493-1FE2A39021C3}"/>
    <hyperlink ref="AU55" r:id="rId51" display="https://www.wincalendar.com/es/pe/Dia-de-Todos-los-Santos" xr:uid="{D9F45283-66C6-48FB-8258-DC9C0D3EC709}"/>
    <hyperlink ref="AU56" r:id="rId52" display="https://www.wincalendar.com/es/pe/Dia-de-la-Inmaculada-Concepcion" xr:uid="{2BB04DEE-D691-4EA8-A8B9-3341E2259737}"/>
    <hyperlink ref="AU57" r:id="rId53" display="https://www.wincalendar.com/es/pe/Navidad" xr:uid="{F38B55F8-608D-4100-8079-52A45422EDB6}"/>
    <hyperlink ref="AU58" r:id="rId54" display="https://www.wincalendar.com/es/pe/Ano-Nuevo" xr:uid="{3FCBCE8E-62F8-41B8-8A33-1AABF9A66A98}"/>
    <hyperlink ref="AU69" r:id="rId55" display="https://www.wincalendar.com/es/pe/Navidad" xr:uid="{CAD12EB5-A7A3-4322-8D19-9EE8AD1CDEE3}"/>
  </hyperlinks>
  <pageMargins left="0.7" right="0.7" top="0.75" bottom="0.75" header="0.3" footer="0.3"/>
  <pageSetup orientation="portrait" horizontalDpi="4294967293" r:id="rId5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BA0D8-93EE-436F-BB19-10509ADB110A}">
  <sheetPr codeName="Hoja7"/>
  <dimension ref="A1:Q21"/>
  <sheetViews>
    <sheetView zoomScale="78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I4" sqref="I4:I6"/>
    </sheetView>
  </sheetViews>
  <sheetFormatPr baseColWidth="10" defaultColWidth="10.90625" defaultRowHeight="14.5"/>
  <cols>
    <col min="1" max="1" width="28.36328125" bestFit="1" customWidth="1"/>
    <col min="2" max="2" width="29.1796875" customWidth="1"/>
    <col min="3" max="3" width="16.54296875" bestFit="1" customWidth="1"/>
  </cols>
  <sheetData>
    <row r="1" spans="1:17">
      <c r="A1">
        <v>1</v>
      </c>
      <c r="B1">
        <f>+A1+1</f>
        <v>2</v>
      </c>
      <c r="C1">
        <f t="shared" ref="C1:O1" si="0">+B1+1</f>
        <v>3</v>
      </c>
      <c r="D1">
        <f t="shared" si="0"/>
        <v>4</v>
      </c>
      <c r="E1">
        <f t="shared" si="0"/>
        <v>5</v>
      </c>
      <c r="F1">
        <f t="shared" si="0"/>
        <v>6</v>
      </c>
      <c r="G1">
        <f t="shared" si="0"/>
        <v>7</v>
      </c>
      <c r="H1">
        <f t="shared" si="0"/>
        <v>8</v>
      </c>
      <c r="I1">
        <f t="shared" si="0"/>
        <v>9</v>
      </c>
      <c r="J1">
        <f t="shared" si="0"/>
        <v>10</v>
      </c>
      <c r="K1">
        <f t="shared" si="0"/>
        <v>11</v>
      </c>
      <c r="L1">
        <f t="shared" si="0"/>
        <v>12</v>
      </c>
      <c r="M1">
        <f t="shared" si="0"/>
        <v>13</v>
      </c>
      <c r="N1">
        <f t="shared" si="0"/>
        <v>14</v>
      </c>
      <c r="O1">
        <f t="shared" si="0"/>
        <v>15</v>
      </c>
    </row>
    <row r="2" spans="1:17" ht="15" thickBot="1">
      <c r="H2" s="209" t="s">
        <v>4</v>
      </c>
      <c r="I2" s="210"/>
      <c r="N2" s="209" t="s">
        <v>5</v>
      </c>
      <c r="O2" s="210"/>
      <c r="Q2" t="s">
        <v>191</v>
      </c>
    </row>
    <row r="3" spans="1:17" ht="39.5" thickBot="1">
      <c r="B3" s="25" t="s">
        <v>40</v>
      </c>
      <c r="C3" s="25" t="s">
        <v>132</v>
      </c>
      <c r="D3" s="25" t="s">
        <v>108</v>
      </c>
      <c r="E3" s="25" t="s">
        <v>109</v>
      </c>
      <c r="F3" s="25" t="s">
        <v>110</v>
      </c>
      <c r="G3" s="25" t="s">
        <v>111</v>
      </c>
      <c r="H3" s="174" t="s">
        <v>112</v>
      </c>
      <c r="I3" s="174" t="s">
        <v>113</v>
      </c>
      <c r="J3" s="25" t="s">
        <v>114</v>
      </c>
      <c r="K3" s="25" t="s">
        <v>115</v>
      </c>
      <c r="L3" s="25" t="s">
        <v>152</v>
      </c>
      <c r="M3" s="25" t="s">
        <v>153</v>
      </c>
      <c r="N3" s="173" t="s">
        <v>112</v>
      </c>
      <c r="O3" s="173" t="s">
        <v>113</v>
      </c>
    </row>
    <row r="4" spans="1:17" ht="15" thickBot="1">
      <c r="A4" t="str">
        <f>CONCATENATE(B4,C4)</f>
        <v>CREDITO GRUPALMENSUAL</v>
      </c>
      <c r="B4" s="157" t="s">
        <v>160</v>
      </c>
      <c r="C4" s="14" t="str">
        <f>Listas!V2</f>
        <v>MENSUAL</v>
      </c>
      <c r="D4" s="34">
        <v>1000</v>
      </c>
      <c r="E4" s="34">
        <v>13000</v>
      </c>
      <c r="F4" s="35">
        <v>8</v>
      </c>
      <c r="G4" s="35">
        <v>10</v>
      </c>
      <c r="H4" s="164">
        <v>1.0703</v>
      </c>
      <c r="I4" s="164">
        <v>1.1315999999999999</v>
      </c>
      <c r="J4" s="37">
        <v>0</v>
      </c>
      <c r="K4" s="37">
        <v>0</v>
      </c>
      <c r="N4" s="168">
        <f t="shared" ref="N4:N5" si="1">+ROUND((1+H4)^(0.0833333333333333)-1,6)</f>
        <v>6.2518000000000004E-2</v>
      </c>
      <c r="O4" s="169">
        <f>+ROUND((1+I4)^(0.0833333333333333)-1,6)</f>
        <v>6.5103999999999995E-2</v>
      </c>
    </row>
    <row r="5" spans="1:17" ht="15" thickBot="1">
      <c r="A5" t="str">
        <f t="shared" ref="A5:A21" si="2">CONCATENATE(B5,C5)</f>
        <v>CREDITO GRUPAL</v>
      </c>
      <c r="B5" s="157" t="s">
        <v>160</v>
      </c>
      <c r="C5" s="14" t="str">
        <f>Listas!V3</f>
        <v/>
      </c>
      <c r="D5" s="34">
        <v>1000</v>
      </c>
      <c r="E5" s="34">
        <v>13000</v>
      </c>
      <c r="F5" s="35">
        <v>4</v>
      </c>
      <c r="G5" s="35">
        <v>8</v>
      </c>
      <c r="H5" s="164">
        <v>1.0703</v>
      </c>
      <c r="I5" s="164">
        <v>1.1315999999999999</v>
      </c>
      <c r="J5" s="37">
        <v>0</v>
      </c>
      <c r="K5" s="37">
        <v>0</v>
      </c>
      <c r="N5" s="168">
        <f t="shared" si="1"/>
        <v>6.2518000000000004E-2</v>
      </c>
      <c r="O5" s="169">
        <f>+ROUND((1+I5)^(0.0833333333333333)-1,6)</f>
        <v>6.5103999999999995E-2</v>
      </c>
    </row>
    <row r="6" spans="1:17" ht="15" thickBot="1">
      <c r="A6" t="str">
        <f t="shared" si="2"/>
        <v>CRECE Y MEJORA</v>
      </c>
      <c r="B6" s="157" t="s">
        <v>106</v>
      </c>
      <c r="C6" s="14"/>
      <c r="D6" s="34">
        <v>1300</v>
      </c>
      <c r="E6" s="34">
        <v>10000</v>
      </c>
      <c r="F6" s="35">
        <v>6</v>
      </c>
      <c r="G6" s="35">
        <v>18</v>
      </c>
      <c r="H6" s="36">
        <v>0.5</v>
      </c>
      <c r="I6" s="164">
        <v>1.1315999999999999</v>
      </c>
      <c r="J6" s="37">
        <v>0</v>
      </c>
      <c r="K6" s="37">
        <v>0</v>
      </c>
      <c r="N6" s="168">
        <f t="shared" ref="N6" si="3">+ROUND((1+H6)^(0.0833333333333333)-1,6)</f>
        <v>3.4366000000000001E-2</v>
      </c>
      <c r="O6" s="168">
        <f>+ROUND((1+I6)^(0.0833333333333333)-1,6)</f>
        <v>6.5103999999999995E-2</v>
      </c>
    </row>
    <row r="7" spans="1:17" ht="15" thickBot="1">
      <c r="A7" t="str">
        <f t="shared" si="2"/>
        <v/>
      </c>
      <c r="N7" s="170"/>
      <c r="O7" s="170"/>
    </row>
    <row r="8" spans="1:17" ht="15" thickBot="1">
      <c r="A8" t="str">
        <f t="shared" si="2"/>
        <v>SUPERFACIL</v>
      </c>
      <c r="B8" s="157" t="s">
        <v>82</v>
      </c>
      <c r="D8" s="26">
        <v>1500</v>
      </c>
      <c r="E8" s="26">
        <v>30000</v>
      </c>
      <c r="F8" s="27">
        <v>6</v>
      </c>
      <c r="G8" s="27">
        <v>18</v>
      </c>
      <c r="H8" s="163">
        <v>0.27889999999999998</v>
      </c>
      <c r="I8" s="164">
        <v>1.1315999999999999</v>
      </c>
      <c r="J8" s="29">
        <v>0</v>
      </c>
      <c r="K8" s="29">
        <v>0</v>
      </c>
      <c r="N8" s="171">
        <v>1.8444000000000002E-2</v>
      </c>
      <c r="O8" s="169">
        <v>6.370300000000001E-2</v>
      </c>
    </row>
    <row r="9" spans="1:17" ht="15" thickBot="1">
      <c r="A9" t="str">
        <f t="shared" si="2"/>
        <v>EFECTIVO</v>
      </c>
      <c r="B9" s="157" t="s">
        <v>81</v>
      </c>
      <c r="D9" s="26">
        <v>1500</v>
      </c>
      <c r="E9" s="26">
        <v>20000</v>
      </c>
      <c r="F9" s="27">
        <v>6</v>
      </c>
      <c r="G9" s="27">
        <v>24</v>
      </c>
      <c r="H9" s="163">
        <v>0.29880000000000001</v>
      </c>
      <c r="I9" s="164">
        <v>1.1315999999999999</v>
      </c>
      <c r="J9" s="29">
        <v>0</v>
      </c>
      <c r="K9" s="29">
        <v>0</v>
      </c>
      <c r="N9" s="171">
        <v>1.719E-2</v>
      </c>
      <c r="O9" s="169">
        <v>6.3695000000000002E-2</v>
      </c>
    </row>
    <row r="10" spans="1:17" ht="15" thickBot="1">
      <c r="A10" t="str">
        <f t="shared" si="2"/>
        <v>PYME</v>
      </c>
      <c r="B10" s="157" t="s">
        <v>85</v>
      </c>
      <c r="D10" s="26">
        <v>1500</v>
      </c>
      <c r="E10" s="26">
        <v>50000</v>
      </c>
      <c r="F10" s="27">
        <v>1</v>
      </c>
      <c r="G10" s="27">
        <v>24</v>
      </c>
      <c r="H10" s="163">
        <v>0.221</v>
      </c>
      <c r="I10" s="164">
        <v>1.1315999999999999</v>
      </c>
      <c r="J10" s="29">
        <v>0</v>
      </c>
      <c r="K10" s="29">
        <v>0</v>
      </c>
      <c r="L10" s="93" t="e">
        <f>D10/'Simulador '!$T$120</f>
        <v>#DIV/0!</v>
      </c>
      <c r="M10" s="93" t="e">
        <f>E10/'Simulador '!$T$120</f>
        <v>#DIV/0!</v>
      </c>
      <c r="N10" s="171">
        <v>1.4283999999999998E-2</v>
      </c>
      <c r="O10" s="169">
        <v>5.4228999999999999E-2</v>
      </c>
    </row>
    <row r="11" spans="1:17" ht="15" thickBot="1">
      <c r="A11" t="str">
        <f t="shared" si="2"/>
        <v>ACTIVO FIJO</v>
      </c>
      <c r="B11" s="157" t="s">
        <v>122</v>
      </c>
      <c r="D11" s="26">
        <v>1500</v>
      </c>
      <c r="E11" s="26">
        <v>50000</v>
      </c>
      <c r="F11" s="27">
        <v>6</v>
      </c>
      <c r="G11" s="27">
        <v>72</v>
      </c>
      <c r="H11" s="163">
        <v>0.221</v>
      </c>
      <c r="I11" s="164">
        <v>1.1315999999999999</v>
      </c>
      <c r="J11" s="29">
        <v>0</v>
      </c>
      <c r="K11" s="29">
        <v>0</v>
      </c>
      <c r="L11" s="93" t="e">
        <f>D11/'Simulador '!$T$120</f>
        <v>#DIV/0!</v>
      </c>
      <c r="M11" s="93" t="e">
        <f>E11/'Simulador '!$T$120</f>
        <v>#DIV/0!</v>
      </c>
      <c r="N11" s="171">
        <v>1.4283999999999998E-2</v>
      </c>
      <c r="O11" s="169">
        <v>5.4228999999999999E-2</v>
      </c>
    </row>
    <row r="12" spans="1:17" ht="15" thickBot="1">
      <c r="A12" t="str">
        <f t="shared" si="2"/>
        <v>COMPRA DE DEUDA</v>
      </c>
      <c r="B12" s="157" t="s">
        <v>86</v>
      </c>
      <c r="D12" s="26">
        <v>1500</v>
      </c>
      <c r="E12" s="26">
        <v>280000</v>
      </c>
      <c r="F12" s="27">
        <v>6</v>
      </c>
      <c r="G12" s="27">
        <v>72</v>
      </c>
      <c r="H12" s="163">
        <v>0.221</v>
      </c>
      <c r="I12" s="164">
        <v>1.1315999999999999</v>
      </c>
      <c r="J12" s="29">
        <v>0</v>
      </c>
      <c r="K12" s="29">
        <v>0</v>
      </c>
      <c r="L12" s="93" t="e">
        <f>D12/'Simulador '!$T$120</f>
        <v>#DIV/0!</v>
      </c>
      <c r="M12" s="93" t="e">
        <f>E12/'Simulador '!$T$120</f>
        <v>#DIV/0!</v>
      </c>
      <c r="N12" s="171">
        <v>1.4283999999999998E-2</v>
      </c>
      <c r="O12" s="169">
        <v>5.4228999999999999E-2</v>
      </c>
    </row>
    <row r="13" spans="1:17" ht="15" thickBot="1">
      <c r="A13" t="str">
        <f t="shared" si="2"/>
        <v>LOCAL COMERCIAL</v>
      </c>
      <c r="B13" s="157" t="s">
        <v>161</v>
      </c>
      <c r="D13" s="26">
        <v>1500</v>
      </c>
      <c r="E13" s="26">
        <v>300000</v>
      </c>
      <c r="F13" s="27">
        <v>6</v>
      </c>
      <c r="G13" s="27">
        <v>72</v>
      </c>
      <c r="H13" s="163">
        <v>0.221</v>
      </c>
      <c r="I13" s="164">
        <v>1.1315999999999999</v>
      </c>
      <c r="J13" s="29">
        <v>0</v>
      </c>
      <c r="K13" s="29">
        <v>0</v>
      </c>
      <c r="L13" s="93" t="e">
        <f>D13/'Simulador '!$T$120</f>
        <v>#DIV/0!</v>
      </c>
      <c r="M13" s="93" t="e">
        <f>E13/'Simulador '!$T$120</f>
        <v>#DIV/0!</v>
      </c>
      <c r="N13" s="171">
        <v>1.4283999999999998E-2</v>
      </c>
      <c r="O13" s="169">
        <v>5.4228999999999999E-2</v>
      </c>
    </row>
    <row r="14" spans="1:17" ht="15" thickBot="1">
      <c r="A14" t="str">
        <f t="shared" si="2"/>
        <v>EMPRESARIO</v>
      </c>
      <c r="B14" s="157" t="s">
        <v>84</v>
      </c>
      <c r="D14" s="26">
        <v>1500</v>
      </c>
      <c r="E14" s="26">
        <v>300000</v>
      </c>
      <c r="F14" s="27">
        <v>1</v>
      </c>
      <c r="G14" s="27">
        <v>60</v>
      </c>
      <c r="H14" s="163">
        <v>0.221</v>
      </c>
      <c r="I14" s="164">
        <v>1.1315999999999999</v>
      </c>
      <c r="J14" s="29">
        <v>0</v>
      </c>
      <c r="K14" s="29">
        <v>0</v>
      </c>
      <c r="L14" s="93" t="e">
        <f>D14/'Simulador '!$T$120</f>
        <v>#DIV/0!</v>
      </c>
      <c r="M14" s="93" t="e">
        <f>E14/'Simulador '!$T$120</f>
        <v>#DIV/0!</v>
      </c>
      <c r="N14" s="171">
        <v>1.3857E-2</v>
      </c>
      <c r="O14" s="169">
        <v>5.4228999999999999E-2</v>
      </c>
    </row>
    <row r="15" spans="1:17" ht="15" thickBot="1">
      <c r="A15" t="str">
        <f t="shared" si="2"/>
        <v>VIVIENDA</v>
      </c>
      <c r="B15" s="156" t="s">
        <v>123</v>
      </c>
      <c r="D15" s="26">
        <v>1500</v>
      </c>
      <c r="E15" s="26">
        <v>300000</v>
      </c>
      <c r="F15" s="27">
        <v>6</v>
      </c>
      <c r="G15" s="27">
        <v>72</v>
      </c>
      <c r="H15" s="163">
        <v>0.221</v>
      </c>
      <c r="I15" s="164">
        <v>1.1315999999999999</v>
      </c>
      <c r="J15" s="29">
        <v>0</v>
      </c>
      <c r="K15" s="29">
        <v>0</v>
      </c>
      <c r="L15" s="93" t="e">
        <f>D15/'Simulador '!$T$120</f>
        <v>#DIV/0!</v>
      </c>
      <c r="M15" s="93" t="e">
        <f>E15/'Simulador '!$T$120</f>
        <v>#DIV/0!</v>
      </c>
      <c r="N15" s="171">
        <v>1.4283999999999998E-2</v>
      </c>
      <c r="O15" s="169">
        <v>5.4228999999999999E-2</v>
      </c>
    </row>
    <row r="16" spans="1:17" ht="15" thickBot="1">
      <c r="A16" t="str">
        <f t="shared" si="2"/>
        <v>IMPULSA PERU</v>
      </c>
      <c r="B16" s="92" t="s">
        <v>181</v>
      </c>
      <c r="D16" s="26">
        <v>1000</v>
      </c>
      <c r="E16" s="26">
        <v>300000</v>
      </c>
      <c r="F16" s="27">
        <v>12</v>
      </c>
      <c r="G16" s="27">
        <v>54</v>
      </c>
      <c r="H16" s="28">
        <v>0.115</v>
      </c>
      <c r="I16" s="164">
        <v>1.1315999999999999</v>
      </c>
      <c r="J16" s="29"/>
      <c r="K16" s="29"/>
      <c r="L16" s="93"/>
      <c r="M16" s="93"/>
      <c r="N16" s="172">
        <f t="shared" ref="N16" si="4">+ROUND((1+H16)^(0.0833333333333333)-1,6)</f>
        <v>9.1120000000000003E-3</v>
      </c>
      <c r="O16" s="168">
        <f>+ROUND((1+I16)^(0.0833333333333333)-1,6)</f>
        <v>6.5103999999999995E-2</v>
      </c>
    </row>
    <row r="17" spans="1:15" ht="15" thickBot="1">
      <c r="A17" t="str">
        <f t="shared" si="2"/>
        <v>AGRO</v>
      </c>
      <c r="B17" s="157" t="s">
        <v>83</v>
      </c>
      <c r="D17" s="26">
        <v>1000</v>
      </c>
      <c r="E17" s="26">
        <v>30000</v>
      </c>
      <c r="F17" s="27">
        <v>1</v>
      </c>
      <c r="G17" s="27">
        <v>8</v>
      </c>
      <c r="H17" s="163">
        <v>0.221</v>
      </c>
      <c r="I17" s="164">
        <v>1.1315999999999999</v>
      </c>
      <c r="J17" s="29">
        <v>0</v>
      </c>
      <c r="K17" s="29">
        <v>0</v>
      </c>
      <c r="N17" s="171">
        <v>1.4283999999999998E-2</v>
      </c>
      <c r="O17" s="169">
        <v>5.4228999999999999E-2</v>
      </c>
    </row>
    <row r="18" spans="1:15" ht="15" thickBot="1">
      <c r="A18" t="str">
        <f t="shared" si="2"/>
        <v>CASH</v>
      </c>
      <c r="B18" s="158" t="s">
        <v>187</v>
      </c>
      <c r="D18" s="26">
        <v>1500</v>
      </c>
      <c r="E18" s="26">
        <v>50000</v>
      </c>
      <c r="F18" s="27">
        <v>12</v>
      </c>
      <c r="G18" s="27">
        <v>18</v>
      </c>
      <c r="H18" s="163">
        <v>0.221</v>
      </c>
      <c r="I18" s="164">
        <v>1.1315999999999999</v>
      </c>
      <c r="J18" s="29">
        <v>0</v>
      </c>
      <c r="K18" s="29">
        <v>0</v>
      </c>
      <c r="N18" s="171">
        <v>1.4283999999999998E-2</v>
      </c>
      <c r="O18" s="169">
        <v>5.4228999999999999E-2</v>
      </c>
    </row>
    <row r="19" spans="1:15" ht="15" thickBot="1">
      <c r="A19" t="str">
        <f t="shared" si="2"/>
        <v>VUELVE</v>
      </c>
      <c r="B19" s="158" t="s">
        <v>188</v>
      </c>
      <c r="D19" s="26">
        <v>1000</v>
      </c>
      <c r="E19" s="26">
        <v>50000</v>
      </c>
      <c r="F19" s="27">
        <v>6</v>
      </c>
      <c r="G19" s="27">
        <v>18</v>
      </c>
      <c r="H19" s="163">
        <v>0.221</v>
      </c>
      <c r="I19" s="164">
        <v>1.1315999999999999</v>
      </c>
      <c r="J19" s="29">
        <v>0</v>
      </c>
      <c r="K19" s="29">
        <v>0</v>
      </c>
      <c r="N19" s="171">
        <v>1.4283999999999998E-2</v>
      </c>
      <c r="O19" s="169">
        <v>5.4228999999999999E-2</v>
      </c>
    </row>
    <row r="20" spans="1:15" ht="15" thickBot="1">
      <c r="A20" t="str">
        <f t="shared" si="2"/>
        <v>LÍNEA DE CRÉDITO</v>
      </c>
      <c r="B20" s="158" t="s">
        <v>189</v>
      </c>
      <c r="D20" s="26">
        <v>1500</v>
      </c>
      <c r="E20" s="26">
        <v>120000</v>
      </c>
      <c r="F20" s="27">
        <v>6</v>
      </c>
      <c r="G20" s="27">
        <v>24</v>
      </c>
      <c r="H20" s="163">
        <v>0.22</v>
      </c>
      <c r="I20" s="164">
        <v>1.1315999999999999</v>
      </c>
      <c r="J20" s="29"/>
      <c r="K20" s="29"/>
      <c r="N20" s="171">
        <v>1.6708000000000001E-2</v>
      </c>
      <c r="O20" s="169">
        <v>4.6736000000000007E-2</v>
      </c>
    </row>
    <row r="21" spans="1:15" ht="15" thickBot="1">
      <c r="A21" t="str">
        <f t="shared" si="2"/>
        <v>LÍNEA DE CRÉDITO CREDITIENDA</v>
      </c>
      <c r="B21" s="158" t="s">
        <v>190</v>
      </c>
      <c r="D21" s="26">
        <v>1000</v>
      </c>
      <c r="E21" s="26">
        <v>10000</v>
      </c>
      <c r="F21" s="27">
        <v>4</v>
      </c>
      <c r="G21" s="27">
        <v>12</v>
      </c>
      <c r="H21" s="28">
        <v>0.7</v>
      </c>
      <c r="I21" s="164">
        <v>1.1315999999999999</v>
      </c>
      <c r="J21" s="29"/>
      <c r="K21" s="29"/>
      <c r="N21" s="172">
        <f t="shared" ref="N21" si="5">+ROUND((1+H21)^(0.0833333333333333)-1,6)</f>
        <v>4.5211000000000001E-2</v>
      </c>
      <c r="O21" s="168">
        <f>+ROUND((1+I21)^(0.0833333333333333)-1,6)</f>
        <v>6.5103999999999995E-2</v>
      </c>
    </row>
  </sheetData>
  <customSheetViews>
    <customSheetView guid="{52987596-9B8D-4CD9-8760-D388E3918C22}" scale="70" state="hidden" topLeftCell="A7">
      <selection activeCell="C18" sqref="C18"/>
      <pageMargins left="0.7" right="0.7" top="0.75" bottom="0.75" header="0.3" footer="0.3"/>
    </customSheetView>
  </customSheetViews>
  <mergeCells count="2">
    <mergeCell ref="H2:I2"/>
    <mergeCell ref="N2:O2"/>
  </mergeCells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EB4A6-11B3-4BC4-BE34-3ECC9C33EAA5}">
  <sheetPr codeName="Hoja3"/>
  <dimension ref="A1"/>
  <sheetViews>
    <sheetView topLeftCell="A38" zoomScale="85" zoomScaleNormal="85" workbookViewId="0">
      <selection activeCell="C18" sqref="C18"/>
    </sheetView>
  </sheetViews>
  <sheetFormatPr baseColWidth="10" defaultColWidth="10.90625" defaultRowHeight="14.5"/>
  <sheetData/>
  <customSheetViews>
    <customSheetView guid="{52987596-9B8D-4CD9-8760-D388E3918C22}" scale="85" state="hidden">
      <selection activeCell="C18" sqref="C18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D3F21-5F0B-4947-8523-C924A7F35EC3}">
  <sheetPr codeName="Hoja2"/>
  <dimension ref="A1"/>
  <sheetViews>
    <sheetView workbookViewId="0"/>
  </sheetViews>
  <sheetFormatPr baseColWidth="10" defaultColWidth="10.90625" defaultRowHeight="14.5"/>
  <sheetData>
    <row r="1" spans="1:1">
      <c r="A1" t="s">
        <v>192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ABCAF-8F27-4C66-B2E7-E0FE017DBD78}">
  <sheetPr codeName="Hoja4"/>
  <dimension ref="A3:W29"/>
  <sheetViews>
    <sheetView topLeftCell="A3" zoomScale="70" zoomScaleNormal="70" workbookViewId="0">
      <selection activeCell="B9" sqref="B9"/>
    </sheetView>
  </sheetViews>
  <sheetFormatPr baseColWidth="10" defaultColWidth="10.90625" defaultRowHeight="14.5"/>
  <cols>
    <col min="1" max="1" width="23.36328125" style="16" customWidth="1"/>
    <col min="2" max="2" width="15" style="16" bestFit="1" customWidth="1"/>
    <col min="3" max="3" width="36.6328125" style="16" customWidth="1"/>
    <col min="4" max="4" width="10.90625" style="16"/>
    <col min="5" max="5" width="33.6328125" style="16" customWidth="1"/>
    <col min="6" max="16384" width="10.90625" style="16"/>
  </cols>
  <sheetData>
    <row r="3" spans="1:23" ht="15" thickBot="1">
      <c r="A3" s="16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6">
        <v>7</v>
      </c>
      <c r="H3" s="16">
        <v>8</v>
      </c>
      <c r="I3" s="16">
        <v>9</v>
      </c>
      <c r="J3" s="16">
        <v>10</v>
      </c>
      <c r="K3" s="16">
        <v>11</v>
      </c>
      <c r="L3" s="16">
        <v>12</v>
      </c>
      <c r="M3" s="16">
        <v>13</v>
      </c>
      <c r="N3" s="16">
        <v>14</v>
      </c>
      <c r="O3" s="16">
        <v>15</v>
      </c>
      <c r="P3" s="16">
        <v>16</v>
      </c>
      <c r="Q3" s="16">
        <v>17</v>
      </c>
      <c r="R3" s="16">
        <v>18</v>
      </c>
      <c r="S3" s="16">
        <v>19</v>
      </c>
      <c r="T3" s="16">
        <v>20</v>
      </c>
      <c r="U3" s="16">
        <v>21</v>
      </c>
      <c r="V3" s="16">
        <v>22</v>
      </c>
      <c r="W3" s="16">
        <v>23</v>
      </c>
    </row>
    <row r="4" spans="1:23" ht="44" thickBot="1">
      <c r="A4" s="25" t="s">
        <v>40</v>
      </c>
      <c r="B4" s="25" t="s">
        <v>108</v>
      </c>
      <c r="C4" s="25" t="s">
        <v>109</v>
      </c>
      <c r="D4" s="25" t="s">
        <v>110</v>
      </c>
      <c r="E4" s="25" t="s">
        <v>111</v>
      </c>
      <c r="F4" s="25" t="s">
        <v>112</v>
      </c>
      <c r="G4" s="25" t="s">
        <v>113</v>
      </c>
      <c r="H4" s="25" t="s">
        <v>114</v>
      </c>
      <c r="I4" s="25" t="s">
        <v>115</v>
      </c>
      <c r="J4" s="16" t="s">
        <v>125</v>
      </c>
      <c r="K4" s="211" t="s">
        <v>127</v>
      </c>
      <c r="L4" s="211"/>
      <c r="M4" s="211"/>
      <c r="N4" s="211"/>
      <c r="O4" s="211"/>
      <c r="P4" s="211"/>
      <c r="Q4" s="211"/>
      <c r="R4" s="211"/>
      <c r="S4" s="211"/>
      <c r="U4" s="21" t="s">
        <v>107</v>
      </c>
      <c r="V4" s="18"/>
      <c r="W4" s="18"/>
    </row>
    <row r="5" spans="1:23" ht="31.5" customHeight="1" thickBot="1">
      <c r="A5" s="14" t="s">
        <v>82</v>
      </c>
      <c r="B5" s="26">
        <v>1500</v>
      </c>
      <c r="C5" s="132">
        <v>20000</v>
      </c>
      <c r="D5" s="134">
        <v>6</v>
      </c>
      <c r="E5" s="134">
        <v>18</v>
      </c>
      <c r="F5" s="28">
        <v>0.22819999999999999</v>
      </c>
      <c r="G5" s="136">
        <v>0.87909999999999999</v>
      </c>
      <c r="H5" s="29" t="s">
        <v>116</v>
      </c>
      <c r="I5" s="29" t="s">
        <v>116</v>
      </c>
      <c r="J5" s="16" t="s">
        <v>126</v>
      </c>
      <c r="K5" s="18" t="s">
        <v>62</v>
      </c>
      <c r="L5" s="19"/>
      <c r="M5" s="19"/>
      <c r="N5" s="19"/>
      <c r="O5" s="19"/>
      <c r="P5" s="19"/>
      <c r="Q5" s="19"/>
      <c r="R5" s="19"/>
      <c r="S5" s="19"/>
      <c r="U5" s="22"/>
      <c r="V5" s="18"/>
      <c r="W5" s="18"/>
    </row>
    <row r="6" spans="1:23" ht="31.5" customHeight="1" thickBot="1">
      <c r="A6" s="14" t="s">
        <v>81</v>
      </c>
      <c r="B6" s="26">
        <v>1500</v>
      </c>
      <c r="C6" s="132">
        <v>30000</v>
      </c>
      <c r="D6" s="134">
        <v>6</v>
      </c>
      <c r="E6" s="134">
        <v>24</v>
      </c>
      <c r="F6" s="28">
        <v>0.22819999999999999</v>
      </c>
      <c r="G6" s="136">
        <v>0.87909999999999999</v>
      </c>
      <c r="H6" s="29" t="s">
        <v>116</v>
      </c>
      <c r="I6" s="29" t="s">
        <v>116</v>
      </c>
      <c r="J6" s="16" t="s">
        <v>126</v>
      </c>
      <c r="K6" s="18" t="s">
        <v>62</v>
      </c>
      <c r="L6" s="19"/>
      <c r="M6" s="19"/>
      <c r="N6" s="19"/>
      <c r="O6" s="19"/>
      <c r="P6" s="19"/>
      <c r="Q6" s="19"/>
      <c r="R6" s="19"/>
      <c r="S6" s="19"/>
      <c r="U6" s="22"/>
      <c r="V6" s="18"/>
      <c r="W6" s="18"/>
    </row>
    <row r="7" spans="1:23" ht="31.5" customHeight="1" thickBot="1">
      <c r="A7" s="14" t="s">
        <v>85</v>
      </c>
      <c r="B7" s="26">
        <v>1500</v>
      </c>
      <c r="C7" s="132">
        <v>50000</v>
      </c>
      <c r="D7" s="134">
        <v>1</v>
      </c>
      <c r="E7" s="135">
        <v>24</v>
      </c>
      <c r="F7" s="28">
        <v>0.17699999999999999</v>
      </c>
      <c r="G7" s="136">
        <v>0.87909999999999999</v>
      </c>
      <c r="H7" s="29" t="s">
        <v>116</v>
      </c>
      <c r="I7" s="29" t="s">
        <v>116</v>
      </c>
      <c r="J7" s="16" t="s">
        <v>126</v>
      </c>
      <c r="K7" s="18" t="s">
        <v>62</v>
      </c>
      <c r="L7" s="18">
        <v>30</v>
      </c>
      <c r="M7" s="18">
        <v>60</v>
      </c>
      <c r="N7" s="18"/>
      <c r="O7" s="18"/>
      <c r="P7" s="18"/>
      <c r="Q7" s="18"/>
      <c r="R7" s="18"/>
      <c r="S7" s="18"/>
      <c r="U7" s="22"/>
      <c r="V7" s="18"/>
      <c r="W7" s="18"/>
    </row>
    <row r="8" spans="1:23" ht="31.5" customHeight="1" thickBot="1">
      <c r="A8" s="14" t="s">
        <v>122</v>
      </c>
      <c r="B8" s="26">
        <v>1500</v>
      </c>
      <c r="C8" s="132">
        <v>50000</v>
      </c>
      <c r="D8" s="134">
        <v>6</v>
      </c>
      <c r="E8" s="133" t="s">
        <v>178</v>
      </c>
      <c r="F8" s="28">
        <v>0.17699999999999999</v>
      </c>
      <c r="G8" s="136">
        <v>0.87909999999999999</v>
      </c>
      <c r="H8" s="29" t="s">
        <v>116</v>
      </c>
      <c r="I8" s="29" t="s">
        <v>116</v>
      </c>
      <c r="J8" s="16" t="s">
        <v>126</v>
      </c>
      <c r="K8" s="18" t="s">
        <v>62</v>
      </c>
      <c r="L8" s="18">
        <v>30</v>
      </c>
      <c r="M8" s="18">
        <v>60</v>
      </c>
      <c r="N8" s="20"/>
      <c r="O8" s="18"/>
      <c r="P8" s="18"/>
      <c r="Q8" s="18"/>
      <c r="R8" s="18"/>
      <c r="S8" s="18"/>
      <c r="U8" s="23">
        <v>1</v>
      </c>
      <c r="V8" s="24">
        <v>2</v>
      </c>
      <c r="W8" s="24">
        <v>3</v>
      </c>
    </row>
    <row r="9" spans="1:23" ht="112.5" customHeight="1" thickBot="1">
      <c r="A9" s="14" t="s">
        <v>86</v>
      </c>
      <c r="B9" s="26">
        <v>1500</v>
      </c>
      <c r="C9" s="133" t="s">
        <v>173</v>
      </c>
      <c r="D9" s="134">
        <v>6</v>
      </c>
      <c r="E9" s="134" t="s">
        <v>117</v>
      </c>
      <c r="F9" s="28">
        <v>0.17699999999999999</v>
      </c>
      <c r="G9" s="136">
        <v>0.87909999999999999</v>
      </c>
      <c r="H9" s="29" t="s">
        <v>116</v>
      </c>
      <c r="I9" s="29" t="s">
        <v>116</v>
      </c>
      <c r="J9" s="16" t="s">
        <v>126</v>
      </c>
      <c r="K9" s="18" t="s">
        <v>62</v>
      </c>
      <c r="L9" s="19"/>
      <c r="M9" s="19"/>
      <c r="N9" s="19"/>
      <c r="O9" s="19"/>
      <c r="P9" s="19"/>
      <c r="Q9" s="19"/>
      <c r="R9" s="19"/>
      <c r="S9" s="19"/>
      <c r="U9" s="19"/>
      <c r="V9" s="18"/>
      <c r="W9" s="18"/>
    </row>
    <row r="10" spans="1:23" ht="26.5" thickBot="1">
      <c r="A10" s="14" t="s">
        <v>161</v>
      </c>
      <c r="B10" s="26">
        <v>1500</v>
      </c>
      <c r="C10" s="133" t="s">
        <v>174</v>
      </c>
      <c r="D10" s="134">
        <v>6</v>
      </c>
      <c r="E10" s="133" t="s">
        <v>118</v>
      </c>
      <c r="F10" s="28">
        <v>0.17699999999999999</v>
      </c>
      <c r="G10" s="136">
        <v>0.87909999999999999</v>
      </c>
      <c r="H10" s="29" t="s">
        <v>116</v>
      </c>
      <c r="I10" s="29" t="s">
        <v>116</v>
      </c>
      <c r="J10" s="16" t="s">
        <v>126</v>
      </c>
      <c r="K10" s="18" t="s">
        <v>62</v>
      </c>
      <c r="L10" s="18">
        <v>30</v>
      </c>
      <c r="M10" s="18">
        <v>60</v>
      </c>
      <c r="N10" s="20"/>
      <c r="O10" s="18"/>
      <c r="P10" s="18"/>
      <c r="Q10" s="18"/>
      <c r="R10" s="18"/>
      <c r="S10" s="18"/>
      <c r="U10" s="23">
        <v>1</v>
      </c>
      <c r="V10" s="24">
        <v>2</v>
      </c>
      <c r="W10" s="24">
        <v>3</v>
      </c>
    </row>
    <row r="11" spans="1:23" ht="91.5" thickBot="1">
      <c r="A11" s="14" t="s">
        <v>84</v>
      </c>
      <c r="B11" s="26">
        <v>1500</v>
      </c>
      <c r="C11" s="133" t="s">
        <v>175</v>
      </c>
      <c r="D11" s="134">
        <v>1</v>
      </c>
      <c r="E11" s="133" t="s">
        <v>179</v>
      </c>
      <c r="F11" s="28">
        <v>0.17699999999999999</v>
      </c>
      <c r="G11" s="136">
        <v>0.87909999999999999</v>
      </c>
      <c r="H11" s="29" t="s">
        <v>116</v>
      </c>
      <c r="I11" s="29" t="s">
        <v>116</v>
      </c>
      <c r="J11" s="16" t="s">
        <v>126</v>
      </c>
      <c r="K11" s="18" t="s">
        <v>62</v>
      </c>
      <c r="L11" s="18">
        <v>30</v>
      </c>
      <c r="M11" s="18">
        <v>60</v>
      </c>
      <c r="N11" s="20">
        <v>90</v>
      </c>
      <c r="O11" s="18"/>
      <c r="P11" s="18"/>
      <c r="Q11" s="18"/>
      <c r="R11" s="18"/>
      <c r="S11" s="18"/>
      <c r="U11" s="23">
        <v>1</v>
      </c>
      <c r="V11" s="24">
        <v>2</v>
      </c>
      <c r="W11" s="24">
        <v>3</v>
      </c>
    </row>
    <row r="12" spans="1:23" ht="52.5" thickBot="1">
      <c r="A12" s="30" t="s">
        <v>123</v>
      </c>
      <c r="B12" s="26">
        <v>1500</v>
      </c>
      <c r="C12" s="134" t="s">
        <v>176</v>
      </c>
      <c r="D12" s="134">
        <v>6</v>
      </c>
      <c r="E12" s="133" t="s">
        <v>180</v>
      </c>
      <c r="F12" s="28">
        <v>0.17699999999999999</v>
      </c>
      <c r="G12" s="136">
        <v>0.87909999999999999</v>
      </c>
      <c r="H12" s="29" t="s">
        <v>116</v>
      </c>
      <c r="I12" s="29" t="s">
        <v>116</v>
      </c>
      <c r="J12" s="16" t="s">
        <v>126</v>
      </c>
      <c r="K12" s="18" t="s">
        <v>62</v>
      </c>
      <c r="L12" s="18">
        <v>30</v>
      </c>
      <c r="M12" s="18">
        <v>60</v>
      </c>
      <c r="N12" s="20">
        <v>90</v>
      </c>
      <c r="O12" s="18"/>
      <c r="P12" s="18"/>
      <c r="Q12" s="18"/>
      <c r="R12" s="18"/>
      <c r="S12" s="18"/>
      <c r="U12" s="23">
        <v>1</v>
      </c>
      <c r="V12" s="24">
        <v>2</v>
      </c>
      <c r="W12" s="24">
        <v>3</v>
      </c>
    </row>
    <row r="13" spans="1:23" ht="15" thickBot="1">
      <c r="A13" s="92" t="s">
        <v>181</v>
      </c>
      <c r="B13" s="26">
        <v>1000</v>
      </c>
      <c r="C13" s="134"/>
      <c r="D13" s="134"/>
      <c r="E13" s="133"/>
      <c r="F13" s="28"/>
      <c r="G13" s="136"/>
      <c r="H13" s="29"/>
      <c r="I13" s="29"/>
      <c r="K13" s="18" t="s">
        <v>62</v>
      </c>
      <c r="L13" s="18">
        <v>180</v>
      </c>
      <c r="M13" s="18"/>
      <c r="N13" s="20"/>
      <c r="O13" s="18"/>
      <c r="P13" s="18"/>
      <c r="Q13" s="18"/>
      <c r="R13" s="18"/>
      <c r="S13" s="18"/>
      <c r="U13" s="23"/>
      <c r="V13" s="24"/>
      <c r="W13" s="24"/>
    </row>
    <row r="14" spans="1:23" ht="26.5" thickBot="1">
      <c r="A14" s="14" t="s">
        <v>83</v>
      </c>
      <c r="B14" s="26">
        <v>1000</v>
      </c>
      <c r="C14" s="135" t="s">
        <v>177</v>
      </c>
      <c r="D14" s="134">
        <v>1</v>
      </c>
      <c r="E14" s="134" t="s">
        <v>119</v>
      </c>
      <c r="F14" s="28">
        <v>0.17699999999999999</v>
      </c>
      <c r="G14" s="136">
        <v>0.87909999999999999</v>
      </c>
      <c r="H14" s="29" t="s">
        <v>116</v>
      </c>
      <c r="I14" s="29" t="s">
        <v>116</v>
      </c>
      <c r="J14" s="16" t="s">
        <v>126</v>
      </c>
      <c r="K14" s="18" t="s">
        <v>62</v>
      </c>
      <c r="L14" s="18">
        <v>30</v>
      </c>
      <c r="M14" s="18">
        <v>60</v>
      </c>
      <c r="N14" s="18">
        <v>90</v>
      </c>
      <c r="O14" s="18">
        <v>120</v>
      </c>
      <c r="P14" s="18">
        <v>150</v>
      </c>
      <c r="Q14" s="18">
        <v>180</v>
      </c>
      <c r="R14" s="18">
        <v>210</v>
      </c>
      <c r="S14" s="18">
        <v>240</v>
      </c>
      <c r="U14" s="23">
        <v>1</v>
      </c>
      <c r="V14" s="24">
        <v>2</v>
      </c>
      <c r="W14" s="24">
        <v>3</v>
      </c>
    </row>
    <row r="17" spans="1:13" ht="29">
      <c r="A17" s="16" t="s">
        <v>120</v>
      </c>
      <c r="B17" s="16" t="str">
        <f>Listas!H21</f>
        <v>EFECTIVO</v>
      </c>
      <c r="L17" s="17"/>
      <c r="M17" t="s">
        <v>129</v>
      </c>
    </row>
    <row r="18" spans="1:13">
      <c r="A18" s="16" t="s">
        <v>121</v>
      </c>
      <c r="B18" s="16" t="str">
        <f>Listas!A5</f>
        <v>INDIVIDUAL</v>
      </c>
    </row>
    <row r="19" spans="1:13" ht="15" thickBot="1"/>
    <row r="20" spans="1:13" ht="15" thickBot="1">
      <c r="A20" s="18"/>
      <c r="B20" s="18" t="s">
        <v>124</v>
      </c>
      <c r="C20" s="18" t="s">
        <v>130</v>
      </c>
    </row>
    <row r="21" spans="1:13" ht="15" thickBot="1">
      <c r="A21" s="18">
        <v>1</v>
      </c>
      <c r="B21" s="31" t="str">
        <f>IFERROR(VLOOKUP($B$17,$A$4:$S$14,K3,FALSE),"No")</f>
        <v>No</v>
      </c>
      <c r="C21" s="23">
        <f>IF(B21="No",0,B21)</f>
        <v>0</v>
      </c>
    </row>
    <row r="22" spans="1:13" ht="15" thickBot="1">
      <c r="A22" s="18">
        <v>2</v>
      </c>
      <c r="B22" s="18">
        <f>IFERROR(VLOOKUP($B$17,$A$4:$S$14,L3,FALSE),"")</f>
        <v>0</v>
      </c>
      <c r="C22" s="23">
        <f t="shared" ref="C22:C29" si="0">IF(B22="No",0,B22)</f>
        <v>0</v>
      </c>
    </row>
    <row r="23" spans="1:13" ht="15" thickBot="1">
      <c r="A23" s="18">
        <v>3</v>
      </c>
      <c r="B23" s="18">
        <f>IFERROR(VLOOKUP($B$17,$A$4:$S$14,M3,FALSE),"")</f>
        <v>0</v>
      </c>
      <c r="C23" s="23">
        <f t="shared" si="0"/>
        <v>0</v>
      </c>
    </row>
    <row r="24" spans="1:13" ht="15" thickBot="1">
      <c r="A24" s="18">
        <v>4</v>
      </c>
      <c r="B24" s="18">
        <f>IFERROR(VLOOKUP($B$17,$A$4:$S$14,N3,FALSE),"")</f>
        <v>0</v>
      </c>
      <c r="C24" s="23">
        <f t="shared" si="0"/>
        <v>0</v>
      </c>
    </row>
    <row r="25" spans="1:13" ht="15" thickBot="1">
      <c r="A25" s="18">
        <v>5</v>
      </c>
      <c r="B25" s="18">
        <f>IFERROR(VLOOKUP($B$17,$A$4:$S$14,O3,FALSE),"")</f>
        <v>0</v>
      </c>
      <c r="C25" s="23">
        <f t="shared" si="0"/>
        <v>0</v>
      </c>
    </row>
    <row r="26" spans="1:13" ht="15" thickBot="1">
      <c r="A26" s="18">
        <v>6</v>
      </c>
      <c r="B26" s="18">
        <f>IFERROR(VLOOKUP($B$17,$A$4:$S$14,P3,FALSE),"")</f>
        <v>0</v>
      </c>
      <c r="C26" s="23">
        <f t="shared" si="0"/>
        <v>0</v>
      </c>
    </row>
    <row r="27" spans="1:13" ht="15" thickBot="1">
      <c r="A27" s="18">
        <v>7</v>
      </c>
      <c r="B27" s="18">
        <f>IFERROR(VLOOKUP($B$17,$A$4:$S$14,Q3,FALSE),"")</f>
        <v>0</v>
      </c>
      <c r="C27" s="23">
        <f t="shared" si="0"/>
        <v>0</v>
      </c>
    </row>
    <row r="28" spans="1:13" ht="15" thickBot="1">
      <c r="A28" s="18">
        <v>8</v>
      </c>
      <c r="B28" s="18">
        <f>IFERROR(VLOOKUP($B$17,$A$4:$S$14,R3,FALSE),"")</f>
        <v>0</v>
      </c>
      <c r="C28" s="23">
        <f t="shared" si="0"/>
        <v>0</v>
      </c>
    </row>
    <row r="29" spans="1:13" ht="15" thickBot="1">
      <c r="A29" s="18">
        <v>9</v>
      </c>
      <c r="B29" s="18">
        <f>IFERROR(VLOOKUP($B$17,$A$4:$S$14,S3,FALSE),"")</f>
        <v>0</v>
      </c>
      <c r="C29" s="23">
        <f t="shared" si="0"/>
        <v>0</v>
      </c>
    </row>
  </sheetData>
  <customSheetViews>
    <customSheetView guid="{52987596-9B8D-4CD9-8760-D388E3918C22}" scale="70" state="hidden" topLeftCell="A13">
      <selection activeCell="C18" sqref="C18"/>
      <pageMargins left="0.7" right="0.7" top="0.75" bottom="0.75" header="0.3" footer="0.3"/>
    </customSheetView>
  </customSheetViews>
  <mergeCells count="1">
    <mergeCell ref="K4:S4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55A1501CE17B42BD7A72C9DD0521CF" ma:contentTypeVersion="13" ma:contentTypeDescription="Create a new document." ma:contentTypeScope="" ma:versionID="36126d1da5985b519b1c359b7eb62979">
  <xsd:schema xmlns:xsd="http://www.w3.org/2001/XMLSchema" xmlns:xs="http://www.w3.org/2001/XMLSchema" xmlns:p="http://schemas.microsoft.com/office/2006/metadata/properties" xmlns:ns1="http://schemas.microsoft.com/sharepoint/v3" xmlns:ns2="7653c7be-d30a-420d-bd0a-2bbcfa0b2ffe" xmlns:ns3="9bb04902-c7ce-4df5-a76a-08ecfa5dc6e3" targetNamespace="http://schemas.microsoft.com/office/2006/metadata/properties" ma:root="true" ma:fieldsID="fe9da18b9ed480fe4e6460c517249993" ns1:_="" ns2:_="" ns3:_="">
    <xsd:import namespace="http://schemas.microsoft.com/sharepoint/v3"/>
    <xsd:import namespace="7653c7be-d30a-420d-bd0a-2bbcfa0b2ffe"/>
    <xsd:import namespace="9bb04902-c7ce-4df5-a76a-08ecfa5dc6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53c7be-d30a-420d-bd0a-2bbcfa0b2f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6556176-7bb6-4ab3-8c8f-ba97c857768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b04902-c7ce-4df5-a76a-08ecfa5dc6e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07316018-18ae-4586-a088-8d1b4c985f41}" ma:internalName="TaxCatchAll" ma:showField="CatchAllData" ma:web="9bb04902-c7ce-4df5-a76a-08ecfa5dc6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7653c7be-d30a-420d-bd0a-2bbcfa0b2ffe">
      <Terms xmlns="http://schemas.microsoft.com/office/infopath/2007/PartnerControls"/>
    </lcf76f155ced4ddcb4097134ff3c332f>
    <TaxCatchAll xmlns="9bb04902-c7ce-4df5-a76a-08ecfa5dc6e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EA036D2-9965-4D8A-954E-CACE759540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653c7be-d30a-420d-bd0a-2bbcfa0b2ffe"/>
    <ds:schemaRef ds:uri="9bb04902-c7ce-4df5-a76a-08ecfa5dc6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360C3D5-3491-4658-AB54-4EFFDBD6321F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653c7be-d30a-420d-bd0a-2bbcfa0b2ffe"/>
    <ds:schemaRef ds:uri="9bb04902-c7ce-4df5-a76a-08ecfa5dc6e3"/>
  </ds:schemaRefs>
</ds:datastoreItem>
</file>

<file path=customXml/itemProps3.xml><?xml version="1.0" encoding="utf-8"?>
<ds:datastoreItem xmlns:ds="http://schemas.openxmlformats.org/officeDocument/2006/customXml" ds:itemID="{A3AC2606-C1AD-4C68-9AAF-74E3EE29E0D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Simulador </vt:lpstr>
      <vt:lpstr>Listas</vt:lpstr>
      <vt:lpstr>Tabla Consolidada</vt:lpstr>
      <vt:lpstr>RangoTasa</vt:lpstr>
      <vt:lpstr>Hoja1</vt:lpstr>
      <vt:lpstr>Reglas de CI</vt:lpstr>
      <vt:lpstr>'Simulador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Luis Machaca Mamani</dc:creator>
  <cp:lastModifiedBy>Bryan Ivan Limaco Mamani</cp:lastModifiedBy>
  <cp:lastPrinted>2023-04-29T04:16:31Z</cp:lastPrinted>
  <dcterms:created xsi:type="dcterms:W3CDTF">2020-06-09T05:48:06Z</dcterms:created>
  <dcterms:modified xsi:type="dcterms:W3CDTF">2026-02-02T20:49:23Z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0x0101001A55A1501CE17B42BD7A72C9DD0521CF</vt:lpwstr>
  </property>
</Properties>
</file>